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Q20VPimC2e8sM4Wle0sM3NOIEAaNYCTj0FAglbDx2uk1xH1Wqa8i6I8rMOU7jPb9I6HAEJHej34rO5jq4gPZ6w==" workbookSaltValue="JhwKhWI9UaDQ5kyFOB/0W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E17" i="13"/>
  <c r="BF17" i="13"/>
  <c r="AC20" i="8" l="1"/>
  <c r="C19" i="7"/>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AJ21" i="26"/>
  <c r="I21" i="20"/>
  <c r="AK21" i="27"/>
  <c r="K21" i="27"/>
  <c r="E21" i="27"/>
  <c r="N21" i="20"/>
  <c r="BF21" i="26"/>
  <c r="P21" i="27"/>
  <c r="AZ21" i="26"/>
  <c r="Y21" i="20"/>
  <c r="AD21" i="26"/>
  <c r="R21" i="20"/>
  <c r="R21" i="27"/>
  <c r="K21" i="26"/>
  <c r="AM21" i="26"/>
  <c r="AC21" i="27"/>
  <c r="J21" i="27"/>
  <c r="O10" i="11"/>
  <c r="AO21" i="27"/>
  <c r="U18" i="11"/>
  <c r="I21" i="27"/>
  <c r="G20" i="7" l="1"/>
  <c r="K18" i="12"/>
  <c r="I18" i="12"/>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W19" i="14"/>
  <c r="Z19" i="14"/>
  <c r="AD19" i="14"/>
  <c r="P19" i="14"/>
  <c r="AC19" i="14"/>
  <c r="M19" i="14"/>
  <c r="AA19" i="14"/>
  <c r="H19" i="14"/>
  <c r="X19" i="14"/>
  <c r="Q19" i="14"/>
  <c r="Y19" i="14"/>
  <c r="AB19" i="14"/>
  <c r="U13" i="11"/>
  <c r="V10" i="11"/>
  <c r="U22" i="11"/>
  <c r="U20" i="11"/>
  <c r="H13" i="14"/>
  <c r="Z13" i="14"/>
  <c r="Y13" i="14"/>
  <c r="W13" i="14"/>
  <c r="Q13" i="14"/>
  <c r="AC13" i="14"/>
  <c r="AD13" i="14"/>
  <c r="M13" i="14"/>
  <c r="AA13" i="14"/>
  <c r="P13" i="14"/>
  <c r="X13" i="14"/>
  <c r="AB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M21" i="16"/>
  <c r="AY21" i="21"/>
  <c r="AY21" i="16"/>
  <c r="O21" i="16"/>
  <c r="BK21" i="16"/>
  <c r="P21" i="16"/>
  <c r="J21" i="11"/>
  <c r="X21" i="11"/>
  <c r="AJ21" i="11"/>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X21" i="16"/>
  <c r="U21" i="16"/>
  <c r="BI21" i="16"/>
  <c r="AR21" i="11"/>
  <c r="L21" i="16"/>
  <c r="AM21" i="21"/>
  <c r="AN21" i="11"/>
  <c r="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<sst xmlns="http://schemas.openxmlformats.org/spreadsheetml/2006/main" count="2527" uniqueCount="1026">
  <si>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</si>
  <si>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</si>
  <si>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</si>
  <si>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</si>
  <si>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</si>
  <si>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</si>
  <si>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</si>
  <si>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</si>
  <si>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</si>
  <si>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</si>
  <si>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</si>
  <si>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</si>
  <si>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</si>
  <si>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</si>
  <si>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</si>
  <si>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</si>
  <si>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</si>
  <si>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</si>
  <si>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</si>
  <si>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</si>
  <si>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</si>
  <si>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</si>
  <si>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</si>
  <si>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</si>
  <si>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</si>
  <si>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</si>
  <si>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</si>
  <si>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</si>
  <si>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</si>
  <si>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</si>
  <si>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</si>
  <si>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</si>
  <si>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</si>
  <si>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</si>
  <si>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</si>
  <si>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</si>
  <si>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</si>
  <si>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</si>
  <si>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</si>
  <si>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</si>
  <si>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</si>
  <si>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</si>
  <si>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</si>
  <si>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</si>
  <si>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</si>
  <si>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</si>
  <si>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</si>
  <si>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</si>
  <si>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</si>
  <si>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</si>
  <si>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</si>
  <si>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</si>
  <si>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</si>
  <si>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</si>
  <si>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</si>
  <si>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</si>
  <si>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</si>
  <si>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</si>
  <si>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</si>
  <si>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</si>
  <si>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</si>
  <si>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</si>
  <si>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</si>
  <si>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</si>
  <si>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</si>
  <si>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</si>
  <si>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</si>
  <si>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</si>
  <si>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</si>
  <si>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</si>
  <si>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</si>
  <si>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</si>
  <si>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</si>
  <si>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</si>
  <si>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</si>
  <si>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</si>
  <si>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</si>
  <si>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</si>
  <si>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</si>
  <si>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</si>
  <si>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</si>
  <si>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</si>
  <si>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</si>
  <si>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</si>
  <si>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</si>
  <si>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</si>
  <si>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</si>
  <si>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</si>
  <si>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</si>
  <si>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</si>
  <si>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</si>
  <si>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</si>
  <si>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</si>
  <si>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</si>
  <si>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</si>
  <si>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</si>
  <si>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</si>
  <si>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</si>
  <si>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</si>
  <si>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</si>
  <si>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</si>
  <si>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</si>
  <si>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</si>
  <si>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</si>
  <si>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</si>
  <si>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</si>
  <si>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</si>
  <si>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</si>
  <si>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</si>
  <si>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</si>
  <si>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</si>
  <si>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</si>
  <si>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</si>
  <si>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</si>
  <si>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</si>
  <si>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</si>
  <si>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</si>
  <si>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</si>
  <si>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</si>
  <si>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</si>
  <si>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</si>
  <si>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</si>
  <si>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</si>
  <si>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</si>
  <si>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</si>
  <si>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</si>
  <si>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</si>
  <si>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</si>
  <si>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</si>
  <si>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</si>
  <si>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</si>
  <si>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</si>
  <si>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</si>
  <si>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</si>
  <si>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</si>
  <si>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</si>
  <si>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</si>
  <si>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</si>
  <si>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</si>
  <si>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</si>
  <si>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</si>
  <si>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</si>
  <si>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</si>
  <si>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</si>
  <si>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</si>
  <si>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</si>
  <si>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</si>
  <si>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</si>
  <si>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</si>
  <si>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</si>
  <si>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</si>
  <si>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</si>
  <si>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</si>
  <si>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</si>
  <si>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</si>
  <si>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</si>
  <si>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</si>
  <si>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</si>
  <si>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</si>
  <si>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</si>
  <si>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</si>
  <si>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</si>
  <si>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</si>
  <si>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</si>
  <si>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</si>
  <si>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</si>
  <si>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</si>
  <si>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</si>
  <si>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</si>
  <si>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</si>
  <si>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</si>
  <si>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</si>
  <si>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</si>
  <si>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</si>
  <si>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</si>
  <si>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</si>
  <si>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</si>
  <si>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</si>
  <si>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</si>
  <si>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</si>
  <si>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</si>
  <si>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</si>
  <si>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</si>
  <si>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</si>
  <si>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</si>
  <si>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</si>
  <si>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</si>
  <si>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</si>
  <si>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</si>
  <si>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</si>
  <si>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</si>
  <si>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</si>
  <si>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</si>
  <si>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</si>
  <si>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</si>
  <si>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</si>
  <si>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</si>
  <si>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</si>
  <si>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</si>
  <si>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</si>
  <si>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</si>
  <si>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</si>
  <si>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</si>
  <si>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</si>
  <si>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</si>
  <si>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</si>
  <si>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</si>
  <si>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</si>
  <si>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</si>
  <si>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</si>
  <si>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</si>
  <si>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</si>
  <si>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</si>
  <si>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</si>
  <si>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</si>
  <si>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</si>
  <si>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</si>
  <si>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</si>
  <si>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</si>
  <si>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</si>
  <si>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</si>
  <si>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</si>
  <si>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</si>
  <si>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</si>
  <si>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</si>
  <si>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</si>
  <si>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</si>
  <si>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</si>
  <si>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</si>
  <si>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</si>
  <si>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</si>
  <si>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</si>
  <si>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</si>
  <si>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</si>
  <si>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</si>
  <si>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</si>
  <si>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</si>
  <si>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</si>
  <si>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</si>
  <si>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</si>
  <si>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</si>
  <si>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</si>
  <si>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</si>
  <si>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</si>
  <si>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</si>
  <si>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</si>
  <si>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</si>
  <si>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</si>
  <si>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</si>
  <si>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</si>
  <si>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</si>
  <si>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</si>
  <si>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</si>
  <si>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</si>
  <si>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</si>
  <si>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</si>
  <si>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</si>
  <si>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</si>
  <si>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</si>
  <si>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</si>
  <si>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</si>
  <si>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</si>
  <si>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</si>
  <si>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</si>
  <si>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</si>
  <si>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</si>
  <si>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</si>
  <si>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</si>
  <si>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</si>
  <si>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</si>
  <si>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</si>
  <si>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</si>
  <si>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</si>
  <si>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</si>
  <si>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</si>
  <si>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</si>
  <si>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</si>
  <si>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</si>
  <si>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</si>
  <si>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</si>
  <si>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</si>
  <si>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</si>
  <si>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</si>
  <si>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</si>
  <si>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</si>
  <si>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</si>
  <si>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</si>
  <si>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</si>
  <si>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</si>
  <si>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</si>
  <si>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</si>
  <si>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</si>
  <si>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</si>
  <si>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</si>
  <si>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</si>
  <si>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</si>
  <si>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</si>
  <si>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</si>
  <si>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</si>
  <si>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</si>
  <si>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</si>
  <si>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</si>
  <si>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</si>
  <si>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</si>
  <si>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</si>
  <si>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</si>
  <si>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</si>
  <si>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</si>
  <si>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</si>
  <si>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</si>
  <si>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</si>
  <si>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</si>
  <si>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</si>
  <si>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</si>
  <si>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</si>
  <si>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</si>
  <si>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</si>
  <si>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</si>
  <si>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</si>
  <si>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</si>
  <si>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</si>
  <si>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</si>
  <si>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</si>
  <si>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</si>
  <si>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</si>
  <si>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</si>
  <si>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</si>
  <si>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</si>
  <si>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</si>
  <si>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</si>
  <si>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</si>
  <si>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</si>
  <si>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</si>
  <si>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</si>
  <si>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</si>
  <si>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</si>
  <si>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</si>
  <si>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</si>
  <si>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</si>
  <si>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</si>
  <si>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</si>
  <si>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</si>
  <si>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</si>
  <si>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</si>
  <si>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</si>
  <si>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</si>
  <si>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</si>
  <si>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</si>
  <si>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</si>
  <si>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</si>
  <si>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</si>
  <si>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</si>
  <si>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</si>
  <si>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</si>
  <si>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</si>
  <si>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</si>
  <si>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</si>
  <si>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</si>
  <si>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</si>
  <si>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</si>
  <si>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</si>
  <si>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</si>
  <si>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</si>
  <si>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</si>
  <si>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</si>
  <si>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</si>
  <si>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</si>
  <si>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</si>
  <si>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</si>
  <si>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</si>
  <si>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</si>
  <si>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</si>
  <si>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</si>
  <si>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</si>
  <si>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</si>
  <si>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</si>
  <si>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</si>
  <si>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</si>
  <si>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</si>
  <si>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</si>
  <si>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</si>
  <si>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</si>
  <si>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</si>
  <si>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</si>
  <si>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</si>
  <si>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</si>
  <si>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</si>
  <si>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</si>
  <si>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</si>
  <si>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</si>
  <si>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</si>
  <si>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</si>
  <si>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</si>
  <si>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</si>
  <si>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</si>
  <si>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</si>
  <si>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</si>
  <si>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</si>
  <si>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</si>
  <si>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</si>
  <si>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</si>
  <si>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</si>
  <si>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</si>
  <si>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</si>
  <si>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</si>
  <si>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</si>
  <si>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</si>
  <si>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</si>
  <si>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</si>
  <si>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</si>
  <si>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</si>
  <si>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</si>
  <si>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</si>
  <si>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</si>
  <si>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</si>
  <si>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</si>
  <si>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</si>
  <si>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</si>
  <si>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</si>
  <si>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</si>
  <si>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</si>
  <si>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</si>
  <si>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</si>
  <si>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</si>
  <si>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</si>
  <si>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</si>
  <si>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</si>
  <si>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</si>
  <si>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</si>
  <si>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</si>
  <si>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</si>
  <si>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</si>
  <si>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</si>
  <si>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</si>
  <si>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</si>
  <si>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</si>
  <si>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</si>
  <si>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</si>
  <si>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</si>
  <si>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</si>
  <si>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</si>
  <si>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</si>
  <si>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</si>
  <si>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</si>
  <si>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</si>
  <si>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</si>
  <si>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</si>
  <si>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</si>
  <si>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</si>
  <si>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</si>
  <si>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</si>
  <si>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</si>
  <si>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</si>
  <si>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</si>
  <si>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</si>
  <si>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</si>
  <si>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</si>
  <si>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</si>
  <si>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</si>
  <si>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</si>
  <si>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</si>
  <si>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</si>
  <si>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</si>
  <si>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</si>
  <si>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</si>
  <si>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</si>
  <si>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</si>
  <si>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</si>
  <si>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</si>
  <si>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</si>
  <si>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</si>
  <si>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</si>
  <si>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</si>
  <si>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</si>
  <si>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</si>
  <si>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</si>
  <si>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</si>
  <si>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</si>
  <si>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</si>
  <si>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</si>
  <si>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</si>
  <si>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</si>
  <si>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</si>
  <si>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</si>
  <si>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</si>
  <si>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</si>
  <si>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</si>
  <si>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</si>
  <si>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</si>
  <si>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</si>
  <si>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</si>
  <si>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</si>
  <si>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</si>
  <si>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</si>
  <si>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</si>
  <si>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</si>
  <si>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</si>
  <si>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</si>
  <si>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</si>
  <si>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</si>
  <si>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</si>
  <si>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</si>
  <si>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</si>
  <si>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</si>
  <si>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</si>
  <si>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</si>
  <si>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</si>
  <si>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</si>
  <si>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</si>
  <si>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</si>
  <si>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</si>
  <si>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</si>
  <si>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</si>
  <si>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</si>
  <si>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</si>
  <si>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</si>
  <si>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</si>
  <si>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</si>
  <si>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</si>
  <si>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</si>
  <si>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</si>
  <si>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</si>
  <si>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</si>
  <si>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</si>
  <si>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</si>
  <si>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</si>
  <si>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</si>
  <si>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</si>
  <si>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</si>
  <si>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</si>
  <si>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</si>
  <si>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</si>
  <si>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</si>
  <si>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</si>
  <si>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</si>
  <si>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</si>
  <si>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</si>
  <si>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</si>
  <si>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</si>
  <si>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</si>
  <si>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</si>
  <si>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</si>
  <si>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</si>
  <si>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</si>
  <si>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</si>
  <si>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</si>
  <si>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</si>
  <si>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</si>
  <si>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</si>
  <si>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</si>
  <si>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</si>
  <si>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</si>
  <si>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</si>
  <si>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</si>
  <si>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</si>
  <si>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</si>
  <si>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</si>
  <si>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</si>
  <si>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</si>
  <si>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</si>
  <si>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</si>
  <si>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</si>
  <si>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</si>
  <si>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</si>
  <si>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</si>
  <si>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</si>
  <si>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</si>
  <si>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</si>
  <si>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</si>
  <si>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</si>
  <si>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</si>
  <si>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</si>
  <si>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</si>
  <si>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</si>
  <si>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</si>
  <si>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</si>
  <si>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</si>
  <si>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</si>
  <si>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</si>
  <si>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</si>
  <si>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</si>
  <si>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</si>
  <si>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</si>
  <si>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</si>
  <si>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</si>
  <si>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</si>
  <si>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</si>
  <si>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</si>
  <si>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</si>
  <si>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</si>
  <si>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</si>
  <si>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</si>
  <si>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</si>
  <si>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</si>
  <si>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</si>
  <si>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</si>
  <si>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</si>
  <si>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</si>
  <si>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</si>
  <si>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</si>
  <si>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</si>
  <si>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</si>
  <si>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</si>
  <si>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</si>
  <si>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</si>
  <si>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</si>
  <si>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</si>
  <si>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</si>
  <si>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</si>
  <si>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</si>
  <si>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</si>
  <si>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</si>
  <si>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</si>
  <si>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</si>
  <si>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</si>
  <si>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</si>
  <si>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</si>
  <si>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</si>
  <si>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</si>
  <si>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</si>
  <si>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</si>
  <si>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</si>
  <si>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</si>
  <si>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</si>
  <si>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</si>
  <si>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</si>
  <si>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</si>
  <si>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</si>
  <si>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</si>
  <si>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</si>
  <si>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</si>
  <si>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</si>
  <si>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</si>
  <si>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</si>
  <si>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</si>
  <si>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</si>
  <si>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</si>
  <si>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</si>
  <si>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</si>
  <si>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</si>
  <si>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</si>
  <si>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</si>
  <si>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</si>
  <si>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</si>
  <si>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</si>
  <si>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</si>
  <si>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</si>
  <si>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</si>
  <si>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</si>
  <si>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</si>
  <si>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</si>
  <si>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</si>
  <si>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</si>
  <si>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</si>
  <si>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</si>
  <si>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</si>
  <si>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</si>
  <si>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</si>
  <si>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</si>
  <si>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</si>
  <si>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</si>
  <si>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</si>
  <si>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</si>
  <si>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</si>
  <si>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</si>
  <si>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</si>
  <si>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</si>
  <si>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</si>
  <si>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</si>
  <si>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</si>
  <si>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</si>
  <si>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</si>
  <si>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</si>
  <si>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</si>
  <si>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</si>
  <si>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</si>
  <si>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</si>
  <si>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</si>
  <si>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</si>
  <si>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</si>
  <si>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</si>
  <si>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</si>
  <si>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</si>
  <si>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</si>
  <si>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</si>
  <si>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</si>
  <si>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</si>
  <si>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</si>
  <si>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</si>
  <si>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</si>
  <si>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</si>
  <si>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</si>
  <si>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</si>
  <si>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</si>
  <si>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</si>
  <si>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</si>
  <si>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</si>
  <si>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</si>
  <si>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</si>
  <si>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</si>
  <si>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</si>
  <si>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</si>
  <si>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</si>
  <si>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</si>
  <si>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</si>
  <si>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</si>
  <si>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</si>
  <si>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</si>
  <si>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</si>
  <si>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</si>
  <si>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</si>
  <si>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</si>
  <si>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</si>
  <si>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</si>
  <si>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</si>
  <si>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</si>
  <si>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</si>
  <si>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</si>
  <si>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</si>
  <si>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</si>
  <si>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</si>
  <si>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</si>
  <si>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</si>
  <si>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</si>
  <si>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</si>
  <si>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</si>
  <si>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</si>
  <si>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</si>
  <si>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</si>
  <si>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</si>
  <si>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</si>
  <si>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</si>
  <si>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</si>
  <si>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</si>
  <si>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</si>
  <si>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</si>
  <si>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</si>
  <si>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</si>
  <si>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</si>
  <si>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</si>
  <si>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</si>
  <si>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</si>
  <si>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</si>
  <si>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</si>
  <si>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</si>
  <si>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</si>
  <si>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</si>
  <si>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</si>
  <si>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</si>
  <si>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</si>
  <si>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</si>
  <si>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</si>
  <si>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</si>
  <si>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</si>
  <si>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</si>
  <si>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</si>
  <si>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</si>
  <si>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</si>
  <si>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</si>
  <si>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</si>
  <si>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</si>
  <si>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</si>
  <si>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</si>
  <si>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</si>
  <si>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</si>
  <si>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</si>
  <si>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</si>
  <si>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</si>
  <si>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</si>
  <si>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</si>
  <si>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</si>
  <si>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</si>
  <si>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</si>
  <si>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</si>
  <si>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</si>
  <si>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</si>
  <si>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</si>
  <si>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</si>
  <si>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</si>
  <si>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</si>
  <si>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</si>
  <si>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</si>
  <si>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</si>
  <si>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</si>
  <si>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</si>
  <si>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</si>
  <si>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</si>
  <si>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</si>
  <si>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</si>
  <si>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</si>
  <si>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</si>
  <si>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</si>
  <si>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</si>
  <si>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</si>
  <si>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</si>
  <si>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</si>
  <si>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</si>
  <si>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</si>
  <si>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</si>
  <si>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</si>
  <si>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</si>
  <si>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</si>
  <si>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</si>
  <si>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</si>
  <si>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</si>
  <si>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</si>
  <si>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</si>
  <si>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</si>
  <si>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</si>
  <si>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</si>
  <si>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</si>
  <si>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</si>
  <si>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</si>
  <si>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</si>
  <si>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</si>
  <si>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</si>
  <si>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</si>
  <si>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</si>
  <si>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</si>
  <si>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</si>
  <si>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</si>
  <si>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</si>
  <si>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</si>
  <si>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</si>
  <si>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</si>
  <si>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</si>
  <si>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</si>
  <si>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</si>
  <si>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</si>
  <si>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</si>
  <si>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</si>
  <si>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</si>
  <si>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</si>
  <si>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</si>
  <si>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</si>
  <si>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</si>
  <si>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</si>
  <si>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</si>
  <si>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</si>
  <si>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</si>
  <si>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</si>
  <si>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</si>
  <si>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</si>
  <si>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</si>
  <si>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</si>
  <si>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</si>
  <si>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</si>
  <si>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</si>
  <si>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</si>
  <si>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</si>
  <si>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</si>
  <si>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</si>
  <si>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</si>
  <si>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</si>
  <si>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</si>
  <si>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</si>
  <si>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</si>
  <si>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</si>
  <si>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</si>
  <si>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</si>
  <si>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</si>
  <si>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</si>
  <si>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</si>
  <si>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</si>
  <si>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</si>
  <si>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</si>
  <si>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</si>
  <si>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</si>
  <si>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</si>
  <si>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</si>
  <si>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</si>
  <si>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</si>
  <si>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</si>
  <si>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</si>
  <si>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</si>
  <si>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</si>
  <si>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</si>
  <si>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</si>
  <si>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</si>
  <si>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</si>
  <si>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</si>
  <si>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</si>
  <si>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</si>
  <si>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</si>
  <si>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</si>
  <si>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</si>
  <si>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</si>
  <si>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</si>
  <si>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</si>
  <si>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</si>
  <si>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</si>
  <si>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</si>
  <si>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</si>
  <si>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</si>
  <si>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</si>
  <si>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</si>
  <si>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</si>
  <si>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</si>
  <si>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</si>
  <si>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</si>
  <si>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</si>
  <si>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</si>
  <si>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</si>
  <si>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</si>
  <si>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</si>
  <si>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</si>
  <si>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</si>
  <si>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</si>
  <si>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</si>
  <si>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</si>
  <si>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</si>
  <si>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</si>
  <si>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</si>
  <si>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</si>
  <si>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</si>
  <si>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</si>
  <si>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</si>
  <si>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</si>
  <si>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</si>
  <si>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</si>
  <si>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</si>
  <si>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</si>
  <si>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</si>
  <si>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</si>
  <si>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</si>
  <si>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</si>
  <si>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</si>
  <si>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</si>
  <si>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</si>
  <si>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</si>
  <si>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</si>
  <si>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</si>
  <si>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</si>
  <si>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</si>
  <si>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</si>
  <si>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</si>
  <si>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</si>
  <si>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</si>
  <si>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</si>
  <si>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</si>
  <si>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</si>
  <si>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</si>
  <si>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</si>
  <si>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</si>
  <si>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</si>
  <si>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</si>
  <si>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</si>
  <si>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</si>
  <si>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</si>
  <si>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</si>
  <si>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</si>
  <si>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</si>
  <si>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</si>
  <si>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</si>
  <si>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</si>
  <si>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</si>
  <si>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</si>
  <si>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</si>
  <si>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</si>
  <si>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</si>
  <si>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</si>
  <si>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</si>
  <si>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</si>
  <si>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</si>
  <si>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</si>
  <si>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</si>
  <si>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</si>
  <si>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</si>
  <si>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</si>
  <si>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</si>
  <si>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</si>
  <si>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</si>
  <si>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</si>
  <si>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</si>
  <si>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</si>
  <si>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</si>
  <si>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</si>
  <si>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</si>
  <si>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</si>
  <si>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</si>
  <si>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</si>
  <si>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</si>
  <si>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</si>
  <si>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</si>
  <si>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</si>
  <si>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</si>
  <si>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</si>
  <si>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</si>
  <si>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</si>
  <si>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</si>
  <si>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</si>
  <si>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</si>
  <si>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</si>
  <si>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</si>
  <si>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</si>
  <si>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</si>
  <si>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</si>
  <si>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</si>
  <si>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</si>
  <si>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</si>
  <si>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</si>
  <si>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</si>
  <si>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</si>
  <si>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</si>
  <si>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</si>
  <si>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</si>
  <si>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</si>
  <si>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</si>
  <si>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</si>
  <si>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</si>
  <si>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</si>
  <si>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</si>
  <si>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</si>
  <si>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</si>
  <si>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</si>
  <si>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</si>
  <si>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</si>
  <si>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</si>
  <si>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</si>
  <si>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</si>
  <si>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</si>
  <si>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 Y LEON</t>
  </si>
  <si>
    <t>Provincias</t>
  </si>
  <si>
    <t>SEGOVIA</t>
  </si>
  <si>
    <t>Resumenes por Partidos Judiciales</t>
  </si>
  <si>
    <t>CUELLAR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</si>
</sst>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nwBatWTg2Oh48JDb2cwRGW9QPLVR3ug4vesujl0zvyF+/GwZChdQjvK45qor7ZLpvCX3mJBO9V23nZ71ILPa4g==" saltValue="A+BhTfOGh5ckwfASHZ1de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 Y LEON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0</v>
      </c>
      <c r="D10" s="224">
        <f>IF(ISNUMBER(Datos!I10),Datos!I10," - ")</f>
        <v>0</v>
      </c>
      <c r="E10" s="225">
        <f>IF(ISNUMBER(Datos!J10),Datos!J10," - ")</f>
        <v>0</v>
      </c>
      <c r="F10" s="225">
        <f>IF(ISNUMBER(Datos!K10),Datos!K10," - ")</f>
        <v>0</v>
      </c>
      <c r="G10" s="1029" t="str">
        <f>IF(Datos!E10&lt;&gt;"",Datos!E10,Datos!D10)</f>
        <v>37</v>
      </c>
      <c r="H10" s="226">
        <f>IF(ISNUMBER(Datos!L10),Datos!L10," - ")</f>
        <v>0</v>
      </c>
      <c r="I10" s="1039" t="str">
        <f>IF(ISNUMBER(Datos!AS10/Datos!BM10),Datos!AS10/Datos!BM10," - ")</f>
        <v xml:space="preserve"> - </v>
      </c>
      <c r="J10" s="1040">
        <f>IF(ISNUMBER(Datos!BY10/Datos!CN10),Datos!BY10/Datos!CN10," - ")</f>
        <v>0</v>
      </c>
      <c r="K10" s="229" t="str">
        <f t="shared" ref="K10:K12" si="1">IF(ISNUMBER((E10-F10)/C10),(E10-F10)/C10," - ")</f>
        <v xml:space="preserve"> - </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45.605150214592271</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0</v>
      </c>
      <c r="D13" s="1044">
        <f>SUBTOTAL(9,D9:D12)</f>
        <v>0</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516</v>
      </c>
      <c r="D17" s="224">
        <f>IF(ISNUMBER(IF(D_I="SI",Datos!I17,Datos!I17+Datos!AC17)),IF(D_I="SI",Datos!I17,Datos!I17+Datos!AC17)," - ")</f>
        <v>515</v>
      </c>
      <c r="E17" s="225">
        <f>IF(ISNUMBER(IF(D_I="SI",Datos!J17,Datos!J17+Datos!AD17)),IF(D_I="SI",Datos!J17,Datos!J17+Datos!AD17)," - ")</f>
        <v>187</v>
      </c>
      <c r="F17" s="225">
        <f>IF(ISNUMBER(IF(D_I="SI",Datos!K17,Datos!K17+Datos!AE17)),IF(D_I="SI",Datos!K17,Datos!K17+Datos!AE17)," - ")</f>
        <v>163</v>
      </c>
      <c r="G17" s="1029" t="str">
        <f>IF(Datos!E17&lt;&gt;"",Datos!E17,Datos!D17)</f>
        <v>04</v>
      </c>
      <c r="H17" s="226">
        <f>IF(ISNUMBER(IF(D_I="SI",Datos!L17,Datos!L17+Datos!AF17)),IF(D_I="SI",Datos!L17,Datos!L17+Datos!AF17)," - ")</f>
        <v>540</v>
      </c>
      <c r="I17" s="1039" t="str">
        <f>IF(ISNUMBER(Datos!AS17/Datos!BM17),Datos!AS17/Datos!BM17," - ")</f>
        <v xml:space="preserve"> - </v>
      </c>
      <c r="J17" s="1040">
        <f>IF(ISNUMBER(Datos!BY17/Datos!CN17),Datos!BY17/Datos!CN17," - ")</f>
        <v>0</v>
      </c>
      <c r="K17" s="229">
        <f t="shared" si="3"/>
        <v>4.6511627906976744E-2</v>
      </c>
      <c r="L17" s="1020">
        <f>IF(ISNUMBER(NºAsuntos!I17/NºAsuntos!G17),(NºAsuntos!I17/NºAsuntos!G17)*11," - ")</f>
        <v>36.441717791411044</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33</v>
      </c>
      <c r="D18" s="224">
        <f>IF(ISNUMBER(IF(D_I="SI",Datos!I18,Datos!I18+Datos!AC18)),IF(D_I="SI",Datos!I18,Datos!I18+Datos!AC18)," - ")</f>
        <v>32</v>
      </c>
      <c r="E18" s="225">
        <f>IF(ISNUMBER(IF(D_I="SI",Datos!J18,Datos!J18+Datos!AD18)),IF(D_I="SI",Datos!J18,Datos!J18+Datos!AD18)," - ")</f>
        <v>19</v>
      </c>
      <c r="F18" s="225">
        <f>IF(ISNUMBER(IF(D_I="SI",Datos!K18,Datos!K18+Datos!AE18)),IF(D_I="SI",Datos!K18,Datos!K18+Datos!AE18)," - ")</f>
        <v>18</v>
      </c>
      <c r="G18" s="1029" t="str">
        <f>IF(Datos!E18&lt;&gt;"",Datos!E18,Datos!D18)</f>
        <v>37</v>
      </c>
      <c r="H18" s="226">
        <f>IF(ISNUMBER(IF(D_I="SI",Datos!L18,Datos!L18+Datos!AF18)),IF(D_I="SI",Datos!L18,Datos!L18+Datos!AF18)," - ")</f>
        <v>34</v>
      </c>
      <c r="I18" s="1039" t="str">
        <f>IF(ISNUMBER(Datos!AS18/Datos!BM18),Datos!AS18/Datos!BM18," - ")</f>
        <v xml:space="preserve"> - </v>
      </c>
      <c r="J18" s="1040" t="str">
        <f>IF(ISNUMBER((Datos!BY18+Datos!BZ18)/Datos!CN18),(Datos!BY18+Datos!BZ18)/Datos!CN18," - ")</f>
        <v xml:space="preserve"> - </v>
      </c>
      <c r="K18" s="229">
        <f t="shared" si="3"/>
        <v>3.0303030303030304E-2</v>
      </c>
      <c r="L18" s="1020">
        <f>IF(ISNUMBER(NºAsuntos!I18/NºAsuntos!G18),(NºAsuntos!I18/NºAsuntos!G18)*11," - ")</f>
        <v>20.777777777777779</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549</v>
      </c>
      <c r="D19" s="1044">
        <f>SUBTOTAL(9,D15:D18)</f>
        <v>547</v>
      </c>
      <c r="E19" s="1045">
        <f>SUBTOTAL(9,E15:E18)</f>
        <v>206</v>
      </c>
      <c r="F19" s="1045">
        <f>SUBTOTAL(9,F15:F18)</f>
        <v>181</v>
      </c>
      <c r="G19" s="1047" t="str">
        <f ca="1">INDIRECT(CONCATENATE("G",ROW()-1))</f>
        <v>37</v>
      </c>
      <c r="H19" s="1048">
        <f ca="1">SUMIF(G$14:G18,G19,H$14:H18)</f>
        <v>34</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549</v>
      </c>
      <c r="D20" s="1066">
        <f>SUBTOTAL(9,D9:D19)</f>
        <v>547</v>
      </c>
      <c r="E20" s="1067">
        <f>SUBTOTAL(9,E9:E19)</f>
        <v>206</v>
      </c>
      <c r="F20" s="1067">
        <f>SUBTOTAL(9,F9:F19)</f>
        <v>181</v>
      </c>
      <c r="G20" s="1068"/>
      <c r="H20" s="1069">
        <f ca="1">SUMIF(B9:B19,"TOTAL",H9:H19)</f>
        <v>34</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m7sB0AYfryQvu+R1UxN/1ETTZ5eqYIPRICevtaATEG9OfaVTcU3IYkl8YAz85RQ3GOcModBtHhZXAvAuox4rbQ==" saltValue="taFgsaxv4NuFSFsxhSC3f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IMFRTKz4LRLiNonqNmTL/62uDhw1iPkshWk/XhMlM6GkeuDpCp/IIZCslMFRDSj8YUT+NueVVqG/nOnKvFVjA==" saltValue="OUbMu8en1GtscXE3zW7Qi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SEGOVIA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0</v>
      </c>
      <c r="J10" s="180">
        <v>0</v>
      </c>
      <c r="K10" s="180">
        <v>0</v>
      </c>
      <c r="L10" s="180">
        <v>0</v>
      </c>
      <c r="M10" s="180">
        <v>0</v>
      </c>
      <c r="N10" s="180">
        <v>0</v>
      </c>
      <c r="O10" s="180">
        <v>0</v>
      </c>
      <c r="P10" s="180">
        <v>0</v>
      </c>
      <c r="Q10" s="180">
        <v>0</v>
      </c>
      <c r="R10" s="180">
        <v>0</v>
      </c>
      <c r="S10" s="180">
        <v>2</v>
      </c>
      <c r="T10" s="180">
        <v>0</v>
      </c>
      <c r="U10" s="180">
        <v>2</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v>
      </c>
      <c r="AZ10" s="129">
        <f t="shared" si="0"/>
        <v>0</v>
      </c>
      <c r="BA10" s="129">
        <f t="shared" si="0"/>
        <v>2</v>
      </c>
      <c r="BB10" s="129">
        <f t="shared" si="0"/>
        <v>0</v>
      </c>
      <c r="BC10" s="125">
        <f t="shared" si="0"/>
        <v>0</v>
      </c>
      <c r="BD10" s="126" t="str">
        <f>IF(ISNUMBER(BA10/AZ10),BA10/AZ10," - ")</f>
        <v xml:space="preserve"> - </v>
      </c>
      <c r="BE10" s="127">
        <f>IF(ISNUMBER(BB10/BA10),BB10/BA10, " - ")</f>
        <v>0</v>
      </c>
      <c r="BF10" s="127">
        <f>IF(ISNUMBER(BC10/BA10),BC10/BA10, " - ")</f>
        <v>0</v>
      </c>
      <c r="BG10" s="195">
        <f>IF(ISNUMBER((AY10+AZ10)/BA10),(AY10+AZ10)/BA10," - ")</f>
        <v>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860</v>
      </c>
      <c r="J12" s="182">
        <v>218</v>
      </c>
      <c r="K12" s="182">
        <v>209</v>
      </c>
      <c r="L12" s="182">
        <v>869</v>
      </c>
      <c r="M12" s="182">
        <v>33</v>
      </c>
      <c r="N12" s="182">
        <v>23</v>
      </c>
      <c r="O12" s="180">
        <v>93</v>
      </c>
      <c r="P12" s="182">
        <v>59</v>
      </c>
      <c r="Q12" s="182">
        <v>46</v>
      </c>
      <c r="R12" s="182">
        <v>573</v>
      </c>
      <c r="S12" s="182">
        <v>925</v>
      </c>
      <c r="T12" s="182">
        <v>287</v>
      </c>
      <c r="U12" s="182">
        <v>236</v>
      </c>
      <c r="V12" s="182">
        <v>976</v>
      </c>
      <c r="W12" s="182">
        <v>82</v>
      </c>
      <c r="X12" s="188">
        <v>13</v>
      </c>
      <c r="Y12" s="190">
        <v>71</v>
      </c>
      <c r="Z12" s="180">
        <v>50</v>
      </c>
      <c r="AA12" s="180">
        <v>24</v>
      </c>
      <c r="AB12" s="180">
        <v>97</v>
      </c>
      <c r="AC12" s="182">
        <v>0</v>
      </c>
      <c r="AD12" s="182">
        <v>0</v>
      </c>
      <c r="AE12" s="182">
        <v>0</v>
      </c>
      <c r="AF12" s="188">
        <v>0</v>
      </c>
      <c r="AG12" s="201">
        <v>45</v>
      </c>
      <c r="AH12" s="182">
        <v>38</v>
      </c>
      <c r="AI12" s="182">
        <v>21</v>
      </c>
      <c r="AJ12" s="202">
        <v>62</v>
      </c>
      <c r="AK12" s="181">
        <v>0</v>
      </c>
      <c r="AL12" s="182">
        <v>0</v>
      </c>
      <c r="AM12" s="182">
        <v>0</v>
      </c>
      <c r="AN12" s="188">
        <v>0</v>
      </c>
      <c r="AO12" s="258">
        <v>1</v>
      </c>
      <c r="AP12" s="154">
        <v>1</v>
      </c>
      <c r="AQ12" s="154">
        <v>1</v>
      </c>
      <c r="AR12" s="153">
        <v>1</v>
      </c>
      <c r="AS12" s="339" t="s">
        <v>766</v>
      </c>
      <c r="AT12" s="202"/>
      <c r="AU12" s="201"/>
      <c r="AV12" s="202"/>
      <c r="AW12" s="201"/>
      <c r="AX12" s="202"/>
      <c r="AY12" s="126">
        <f t="shared" si="1"/>
        <v>970</v>
      </c>
      <c r="AZ12" s="127">
        <f t="shared" si="1"/>
        <v>325</v>
      </c>
      <c r="BA12" s="127">
        <f t="shared" si="1"/>
        <v>257</v>
      </c>
      <c r="BB12" s="127">
        <f t="shared" si="1"/>
        <v>1038</v>
      </c>
      <c r="BC12" s="125">
        <f>IF(ISNUMBER(X12),X12," - ")</f>
        <v>13</v>
      </c>
      <c r="BD12" s="126">
        <f t="shared" si="2"/>
        <v>0.79076923076923078</v>
      </c>
      <c r="BE12" s="127">
        <f t="shared" si="3"/>
        <v>4.0389105058365757</v>
      </c>
      <c r="BF12" s="127">
        <f t="shared" si="4"/>
        <v>5.0583657587548639E-2</v>
      </c>
      <c r="BG12" s="195">
        <f t="shared" si="5"/>
        <v>5.0389105058365757</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860</v>
      </c>
      <c r="J13" s="183">
        <f t="shared" si="6"/>
        <v>218</v>
      </c>
      <c r="K13" s="183">
        <f t="shared" si="6"/>
        <v>209</v>
      </c>
      <c r="L13" s="183">
        <f t="shared" si="6"/>
        <v>869</v>
      </c>
      <c r="M13" s="183">
        <f t="shared" si="6"/>
        <v>33</v>
      </c>
      <c r="N13" s="183">
        <f t="shared" si="6"/>
        <v>23</v>
      </c>
      <c r="O13" s="183">
        <f t="shared" si="6"/>
        <v>93</v>
      </c>
      <c r="P13" s="183">
        <f t="shared" si="6"/>
        <v>59</v>
      </c>
      <c r="Q13" s="183">
        <f t="shared" si="6"/>
        <v>46</v>
      </c>
      <c r="R13" s="183">
        <f t="shared" si="6"/>
        <v>573</v>
      </c>
      <c r="S13" s="183">
        <f t="shared" si="6"/>
        <v>927</v>
      </c>
      <c r="T13" s="183">
        <f t="shared" si="6"/>
        <v>287</v>
      </c>
      <c r="U13" s="183">
        <f t="shared" si="6"/>
        <v>238</v>
      </c>
      <c r="V13" s="183">
        <f t="shared" si="6"/>
        <v>976</v>
      </c>
      <c r="W13" s="183">
        <f t="shared" si="6"/>
        <v>82</v>
      </c>
      <c r="X13" s="183">
        <f t="shared" si="6"/>
        <v>13</v>
      </c>
      <c r="Y13" s="183">
        <f t="shared" si="6"/>
        <v>71</v>
      </c>
      <c r="Z13" s="183">
        <f t="shared" si="6"/>
        <v>50</v>
      </c>
      <c r="AA13" s="183">
        <f t="shared" si="6"/>
        <v>24</v>
      </c>
      <c r="AB13" s="183">
        <f t="shared" si="6"/>
        <v>97</v>
      </c>
      <c r="AC13" s="183">
        <f t="shared" si="6"/>
        <v>0</v>
      </c>
      <c r="AD13" s="183">
        <f t="shared" si="6"/>
        <v>0</v>
      </c>
      <c r="AE13" s="183">
        <f t="shared" si="6"/>
        <v>0</v>
      </c>
      <c r="AF13" s="183">
        <f>SUBTOTAL(9,AF9:AF12)</f>
        <v>0</v>
      </c>
      <c r="AG13" s="183">
        <f t="shared" ref="AG13:AT13" si="7">SUBTOTAL(9,AG8:AG12)</f>
        <v>45</v>
      </c>
      <c r="AH13" s="183">
        <f t="shared" si="7"/>
        <v>38</v>
      </c>
      <c r="AI13" s="183">
        <f t="shared" si="7"/>
        <v>21</v>
      </c>
      <c r="AJ13" s="183">
        <f t="shared" si="7"/>
        <v>62</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972</v>
      </c>
      <c r="AZ13" s="183">
        <f>SUBTOTAL(9,AZ8:AZ12)</f>
        <v>325</v>
      </c>
      <c r="BA13" s="183">
        <f>SUBTOTAL(9,BA8:BA12)</f>
        <v>259</v>
      </c>
      <c r="BB13" s="183">
        <f>SUBTOTAL(9,BB8:BB12)</f>
        <v>1038</v>
      </c>
      <c r="BC13" s="183">
        <f>SUBTOTAL(9,BC8:BC12)</f>
        <v>13</v>
      </c>
      <c r="BD13" s="204">
        <f>IF(ISNUMBER(BA13/AZ13),BA13/AZ13," - ")</f>
        <v>0.79692307692307696</v>
      </c>
      <c r="BE13" s="205">
        <f>IF(ISNUMBER(BB13/BA13),BB13/BA13, " - ")</f>
        <v>4.0077220077220082</v>
      </c>
      <c r="BF13" s="205">
        <f>IF(ISNUMBER(BC13/BA13),BC13/BA13, " - ")</f>
        <v>5.019305019305019E-2</v>
      </c>
      <c r="BG13" s="206">
        <f>IF(ISNUMBER((AY13+AZ13)/BA13),(AY13+AZ13)/BA13," - ")</f>
        <v>5.0077220077220082</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515</v>
      </c>
      <c r="J17" s="182">
        <v>187</v>
      </c>
      <c r="K17" s="182">
        <v>163</v>
      </c>
      <c r="L17" s="182">
        <v>540</v>
      </c>
      <c r="M17" s="182">
        <v>40</v>
      </c>
      <c r="N17" s="182">
        <v>76</v>
      </c>
      <c r="O17" s="180">
        <v>0</v>
      </c>
      <c r="P17" s="182">
        <v>0</v>
      </c>
      <c r="Q17" s="182">
        <v>5</v>
      </c>
      <c r="R17" s="182">
        <v>21</v>
      </c>
      <c r="S17" s="182">
        <v>418</v>
      </c>
      <c r="T17" s="182">
        <v>182</v>
      </c>
      <c r="U17" s="182">
        <v>186</v>
      </c>
      <c r="V17" s="182">
        <v>417</v>
      </c>
      <c r="W17" s="182">
        <v>21</v>
      </c>
      <c r="X17" s="188">
        <v>119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418</v>
      </c>
      <c r="AZ17" s="127">
        <f t="shared" si="9"/>
        <v>182</v>
      </c>
      <c r="BA17" s="127">
        <f t="shared" si="9"/>
        <v>186</v>
      </c>
      <c r="BB17" s="127">
        <f t="shared" si="9"/>
        <v>417</v>
      </c>
      <c r="BC17" s="125">
        <f>IF(ISNUMBER(W17),W17," - ")</f>
        <v>21</v>
      </c>
      <c r="BD17" s="126">
        <f t="shared" ref="BD17" si="16">IF(ISNUMBER(BA17/AZ17),BA17/AZ17," - ")</f>
        <v>1.0219780219780219</v>
      </c>
      <c r="BE17" s="127">
        <f t="shared" ref="BE17" si="17">IF(ISNUMBER(BB17/BA17),BB17/BA17, " - ")</f>
        <v>2.2419354838709675</v>
      </c>
      <c r="BF17" s="127">
        <f t="shared" ref="BF17" si="18">IF(ISNUMBER(BC17/BA17),BC17/BA17, " - ")</f>
        <v>0.11290322580645161</v>
      </c>
      <c r="BG17" s="195">
        <f t="shared" si="10"/>
        <v>3.225806451612903</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32</v>
      </c>
      <c r="J18" s="182">
        <v>19</v>
      </c>
      <c r="K18" s="182">
        <v>18</v>
      </c>
      <c r="L18" s="182">
        <v>34</v>
      </c>
      <c r="M18" s="182">
        <v>0</v>
      </c>
      <c r="N18" s="182">
        <v>14</v>
      </c>
      <c r="O18" s="182">
        <v>0</v>
      </c>
      <c r="P18" s="182">
        <v>0</v>
      </c>
      <c r="Q18" s="182">
        <v>0</v>
      </c>
      <c r="R18" s="182">
        <v>0</v>
      </c>
      <c r="S18" s="182">
        <v>53</v>
      </c>
      <c r="T18" s="182">
        <v>12</v>
      </c>
      <c r="U18" s="182">
        <v>36</v>
      </c>
      <c r="V18" s="182">
        <v>29</v>
      </c>
      <c r="W18" s="182">
        <v>1</v>
      </c>
      <c r="X18" s="188">
        <v>20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53</v>
      </c>
      <c r="AZ18" s="129">
        <f t="shared" si="19"/>
        <v>12</v>
      </c>
      <c r="BA18" s="129">
        <f t="shared" si="19"/>
        <v>36</v>
      </c>
      <c r="BB18" s="129">
        <f t="shared" si="19"/>
        <v>29</v>
      </c>
      <c r="BC18" s="125">
        <f>IF(ISNUMBER(W18),W18," - ")</f>
        <v>1</v>
      </c>
      <c r="BD18" s="126">
        <f>IF(ISNUMBER(BA18/AZ18),BA18/AZ18," - ")</f>
        <v>3</v>
      </c>
      <c r="BE18" s="127">
        <f>IF(ISNUMBER(BB18/BA18),BB18/BA18, " - ")</f>
        <v>0.80555555555555558</v>
      </c>
      <c r="BF18" s="127">
        <f>IF(ISNUMBER(BC18/BA18),BC18/BA18, " - ")</f>
        <v>2.7777777777777776E-2</v>
      </c>
      <c r="BG18" s="195">
        <f>IF(ISNUMBER((AY18+AZ18)/BA18),(AY18+AZ18)/BA18," - ")</f>
        <v>1.8055555555555556</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547</v>
      </c>
      <c r="J19" s="183">
        <f t="shared" si="20"/>
        <v>206</v>
      </c>
      <c r="K19" s="183">
        <f t="shared" si="20"/>
        <v>181</v>
      </c>
      <c r="L19" s="183">
        <f t="shared" si="20"/>
        <v>574</v>
      </c>
      <c r="M19" s="183">
        <f t="shared" si="20"/>
        <v>40</v>
      </c>
      <c r="N19" s="183">
        <f t="shared" si="20"/>
        <v>90</v>
      </c>
      <c r="O19" s="183">
        <f t="shared" si="20"/>
        <v>0</v>
      </c>
      <c r="P19" s="183">
        <f t="shared" si="20"/>
        <v>0</v>
      </c>
      <c r="Q19" s="183">
        <f t="shared" si="20"/>
        <v>5</v>
      </c>
      <c r="R19" s="183">
        <f t="shared" si="20"/>
        <v>21</v>
      </c>
      <c r="S19" s="183">
        <f t="shared" si="20"/>
        <v>471</v>
      </c>
      <c r="T19" s="183">
        <f t="shared" si="20"/>
        <v>194</v>
      </c>
      <c r="U19" s="183">
        <f t="shared" si="20"/>
        <v>222</v>
      </c>
      <c r="V19" s="183">
        <f t="shared" si="20"/>
        <v>446</v>
      </c>
      <c r="W19" s="183">
        <f t="shared" si="20"/>
        <v>22</v>
      </c>
      <c r="X19" s="183">
        <f t="shared" si="20"/>
        <v>139</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471</v>
      </c>
      <c r="AZ19" s="183">
        <f>SUBTOTAL(9,AZ14:AZ18)</f>
        <v>194</v>
      </c>
      <c r="BA19" s="183">
        <f>SUBTOTAL(9,BA14:BA18)</f>
        <v>222</v>
      </c>
      <c r="BB19" s="183">
        <f>SUBTOTAL(9,BB14:BB18)</f>
        <v>446</v>
      </c>
      <c r="BC19" s="183">
        <f>SUBTOTAL(9,BC14:BC18)</f>
        <v>22</v>
      </c>
      <c r="BD19" s="204">
        <f>IF(ISNUMBER(BA19/AZ19),BA19/AZ19," - ")</f>
        <v>1.1443298969072164</v>
      </c>
      <c r="BE19" s="205">
        <f>IF(ISNUMBER(BB19/BA19),BB19/BA19, " - ")</f>
        <v>2.0090090090090089</v>
      </c>
      <c r="BF19" s="205">
        <f>IF(ISNUMBER(BC19/BA19),BC19/BA19, " - ")</f>
        <v>9.90990990990991E-2</v>
      </c>
      <c r="BG19" s="206">
        <f>IF(ISNUMBER((AY19+AZ19)/BA19),(AY19+AZ19)/BA19," - ")</f>
        <v>2.9954954954954953</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1407</v>
      </c>
      <c r="J20" s="134">
        <f t="shared" si="23"/>
        <v>424</v>
      </c>
      <c r="K20" s="134">
        <f t="shared" si="23"/>
        <v>390</v>
      </c>
      <c r="L20" s="134">
        <f t="shared" si="23"/>
        <v>1443</v>
      </c>
      <c r="M20" s="134">
        <f t="shared" si="23"/>
        <v>73</v>
      </c>
      <c r="N20" s="134">
        <f t="shared" si="23"/>
        <v>113</v>
      </c>
      <c r="O20" s="134">
        <f t="shared" si="23"/>
        <v>93</v>
      </c>
      <c r="P20" s="134">
        <f t="shared" si="23"/>
        <v>59</v>
      </c>
      <c r="Q20" s="134">
        <f t="shared" si="23"/>
        <v>51</v>
      </c>
      <c r="R20" s="134">
        <f t="shared" si="23"/>
        <v>594</v>
      </c>
      <c r="S20" s="134">
        <f t="shared" si="23"/>
        <v>1398</v>
      </c>
      <c r="T20" s="134">
        <f t="shared" si="23"/>
        <v>481</v>
      </c>
      <c r="U20" s="134">
        <f t="shared" si="23"/>
        <v>460</v>
      </c>
      <c r="V20" s="134">
        <f t="shared" si="23"/>
        <v>1422</v>
      </c>
      <c r="W20" s="134">
        <f t="shared" si="23"/>
        <v>104</v>
      </c>
      <c r="X20" s="134">
        <f t="shared" si="23"/>
        <v>152</v>
      </c>
      <c r="Y20" s="134">
        <f t="shared" si="23"/>
        <v>71</v>
      </c>
      <c r="Z20" s="134">
        <f t="shared" si="23"/>
        <v>50</v>
      </c>
      <c r="AA20" s="134">
        <f t="shared" si="23"/>
        <v>24</v>
      </c>
      <c r="AB20" s="134">
        <f t="shared" si="23"/>
        <v>97</v>
      </c>
      <c r="AC20" s="134">
        <f t="shared" si="23"/>
        <v>0</v>
      </c>
      <c r="AD20" s="134">
        <f t="shared" si="23"/>
        <v>0</v>
      </c>
      <c r="AE20" s="134">
        <f t="shared" si="23"/>
        <v>0</v>
      </c>
      <c r="AF20" s="134">
        <f t="shared" si="23"/>
        <v>0</v>
      </c>
      <c r="AG20" s="134">
        <f t="shared" si="23"/>
        <v>45</v>
      </c>
      <c r="AH20" s="134">
        <f t="shared" si="23"/>
        <v>38</v>
      </c>
      <c r="AI20" s="134">
        <f t="shared" si="23"/>
        <v>21</v>
      </c>
      <c r="AJ20" s="134">
        <f t="shared" si="23"/>
        <v>62</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1443</v>
      </c>
      <c r="AZ20" s="134">
        <f>SUBTOTAL(9,AZ9:AZ19)</f>
        <v>519</v>
      </c>
      <c r="BA20" s="134">
        <f>SUBTOTAL(9,BA9:BA19)</f>
        <v>481</v>
      </c>
      <c r="BB20" s="134">
        <f>SUBTOTAL(9,BB9:BB19)</f>
        <v>1484</v>
      </c>
      <c r="BC20" s="135">
        <f>SUBTOTAL(9,BC9:BC19)</f>
        <v>35</v>
      </c>
      <c r="BD20" s="212">
        <f>IF(ISNUMBER(BA20/AZ20),BA20/AZ20," - ")</f>
        <v>0.92678227360308285</v>
      </c>
      <c r="BE20" s="209">
        <f>IF(ISNUMBER(BB20/BA20),BB20/BA20, " - ")</f>
        <v>3.0852390852390852</v>
      </c>
      <c r="BF20" s="209">
        <f>IF(ISNUMBER(BC20/BA20),BC20/BA20, " - ")</f>
        <v>7.2765072765072769E-2</v>
      </c>
      <c r="BG20" s="135">
        <f>IF(ISNUMBER((AY20+AZ20)/BA20),(AY20+AZ20)/BA20," - ")</f>
        <v>4.0790020790020787</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FljvTDUCvvQTFnLkc+rbQWkDH9w9G4fdfxqDqGOo5Y69GHiWSsvuLx+VQDmb5B5PwcfkXmPoHk2YIBcj3iJztg==" saltValue="VmIzOIVCQ1p1KUkOXcpqG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SEGOVIA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3H6HRqSsXEiHp4S6ZZcOOI5aY6PRpi8rMa/6vVW2EyyShWl/vi899tiODQpxb32gV7+Ai+sX7oN5UAwrcvZzsQ==" saltValue="1uNNCuhhsyF1IMRoX1GeK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 Y LEON</v>
      </c>
    </row>
    <row r="2" spans="1:78" ht="16.5" customHeight="1">
      <c r="C2" s="1263" t="str">
        <f>Criterios!A10 &amp;"  "&amp;Criterios!B10 &amp; "  " &amp; IF(NOT(ISBLANK(Criterios!A11)),Criterios!A11 &amp;"  "&amp;Criterios!B11,"")</f>
        <v>Provincias  SEGOVIA  Resumenes por Partidos Judiciales  CUELLAR</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0</v>
      </c>
      <c r="G10" s="1246">
        <f>IF(ISNUMBER(Datos!I10),Datos!I10," - ")</f>
        <v>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0</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50</v>
      </c>
      <c r="O12" s="1247"/>
      <c r="P12" s="1247"/>
      <c r="Q12" s="1215">
        <f>IF(ISNUMBER(Datos!P12),Datos!P12,0)</f>
        <v>59</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46</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97</v>
      </c>
      <c r="AI12" s="1247" t="str">
        <f>IF(ISNUMBER(Datos!CD12),Datos!CD12,"-")</f>
        <v>-</v>
      </c>
      <c r="AJ12" s="1247" t="str">
        <f>IF(ISNUMBER(Datos!EN12),Datos!EN12," - ")</f>
        <v xml:space="preserve"> - </v>
      </c>
      <c r="AK12" s="1247"/>
      <c r="AL12" s="1258"/>
      <c r="AM12" s="1248">
        <f>IF(ISNUMBER(Datos!R12),Datos!R12," - ")</f>
        <v>573</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33</v>
      </c>
      <c r="BD12" s="1218">
        <f>IF(ISNUMBER(Datos!N12),Datos!N12," - ")</f>
        <v>23</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0.86940298507462688</v>
      </c>
      <c r="BH12" s="1226">
        <f>IF(ISNUMBER(((IF(J_V="SI",Datos!L12/Datos!K12,(Datos!L12+Datos!AB12)/(Datos!K12+Datos!AA12)))*11)/factor_trimestre),((IF(J_V="SI",Datos!L12/Datos!K12,(Datos!L12+Datos!AB12)/(Datos!K12+Datos!AA12)))*11)/factor_trimestre," - ")</f>
        <v>12.437768240343347</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2.3214285714285715E-2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0</v>
      </c>
      <c r="G13" s="1391">
        <f t="shared" si="0"/>
        <v>0</v>
      </c>
      <c r="H13" s="1392">
        <f t="shared" si="0"/>
        <v>0</v>
      </c>
      <c r="I13" s="1391">
        <f t="shared" si="0"/>
        <v>0</v>
      </c>
      <c r="J13" s="1383">
        <f t="shared" si="0"/>
        <v>0</v>
      </c>
      <c r="K13" s="1383">
        <f t="shared" si="0"/>
        <v>0</v>
      </c>
      <c r="L13" s="1392">
        <f t="shared" si="0"/>
        <v>0</v>
      </c>
      <c r="M13" s="1392">
        <f t="shared" si="0"/>
        <v>0</v>
      </c>
      <c r="N13" s="1392">
        <f t="shared" si="0"/>
        <v>50</v>
      </c>
      <c r="O13" s="1393">
        <f t="shared" si="0"/>
        <v>0</v>
      </c>
      <c r="P13" s="1393">
        <f t="shared" si="0"/>
        <v>0</v>
      </c>
      <c r="Q13" s="1392">
        <f t="shared" si="0"/>
        <v>59</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46</v>
      </c>
      <c r="AD13" s="1392">
        <f t="shared" si="1"/>
        <v>0</v>
      </c>
      <c r="AE13" s="1392">
        <f t="shared" si="1"/>
        <v>0</v>
      </c>
      <c r="AF13" s="1392">
        <f t="shared" si="1"/>
        <v>0</v>
      </c>
      <c r="AG13" s="1392">
        <f t="shared" si="1"/>
        <v>0</v>
      </c>
      <c r="AH13" s="1392">
        <f t="shared" si="1"/>
        <v>97</v>
      </c>
      <c r="AI13" s="1392">
        <f t="shared" si="1"/>
        <v>0</v>
      </c>
      <c r="AJ13" s="1392">
        <f t="shared" si="1"/>
        <v>0</v>
      </c>
      <c r="AK13" s="1392">
        <f t="shared" si="1"/>
        <v>0</v>
      </c>
      <c r="AL13" s="1392">
        <f t="shared" si="1"/>
        <v>0</v>
      </c>
      <c r="AM13" s="1392">
        <f t="shared" si="1"/>
        <v>573</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33</v>
      </c>
      <c r="BD13" s="1392">
        <f t="shared" si="1"/>
        <v>23</v>
      </c>
      <c r="BE13" s="1392">
        <f t="shared" si="1"/>
        <v>0</v>
      </c>
      <c r="BF13" s="1392">
        <f t="shared" si="1"/>
        <v>0</v>
      </c>
      <c r="BG13" s="1392">
        <f>IF(ISNUMBER(Datos!K13/Datos!J13),Datos!K13/Datos!J13," - ")</f>
        <v>0.95871559633027525</v>
      </c>
      <c r="BH13" s="1396">
        <f>IF(ISNUMBER(((Datos!L13/Datos!K13)*11)/factor_trimestre),((Datos!L13/Datos!K13)*11)/factor_trimestre," - ")</f>
        <v>12.473684210526317</v>
      </c>
      <c r="BI13" s="1392">
        <f>IF(ISNUMBER('Resol  Asuntos'!D13/NºAsuntos!G13),'Resol  Asuntos'!D13/NºAsuntos!G13," - ")</f>
        <v>0.14163090128755365</v>
      </c>
      <c r="BJ13" s="1392" t="str">
        <f>IF(ISNUMBER(Datos!CI13/Datos!CJ13),Datos!CI13/Datos!CJ13," - ")</f>
        <v xml:space="preserve"> - </v>
      </c>
      <c r="BK13" s="1392">
        <f>SUBTOTAL(9,BK8:BK12)</f>
        <v>0</v>
      </c>
      <c r="BL13" s="1392" t="str">
        <f>IF(ISNUMBER((I13-AB13+L13)/(F13)),(I13-AB13+L13)/(F13)," - ")</f>
        <v xml:space="preserve"> - </v>
      </c>
      <c r="BM13" s="1397">
        <f>SUBTOTAL(9,BM9:BM12)</f>
        <v>2.3214285714285715E-2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516</v>
      </c>
      <c r="G17" s="1335">
        <f>IF(ISNUMBER(IF(D_I="SI",Datos!I17,Datos!I17+Datos!AC17)),IF(D_I="SI",Datos!I17,Datos!I17+Datos!AC17)," - ")</f>
        <v>515</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163</v>
      </c>
      <c r="AC17" s="1215">
        <f>IF(ISNUMBER(Datos!Q17),Datos!Q17," - ")</f>
        <v>5</v>
      </c>
      <c r="AD17" s="1247"/>
      <c r="AE17" s="1262"/>
      <c r="AF17" s="1333">
        <f>IF(ISNUMBER(IF(D_I="SI",Datos!L17,Datos!L17+Datos!AF17)),IF(D_I="SI",Datos!L17,Datos!L17+Datos!AF17)," - ")</f>
        <v>540</v>
      </c>
      <c r="AG17" s="1247"/>
      <c r="AH17" s="1247"/>
      <c r="AI17" s="1247"/>
      <c r="AJ17" s="1247"/>
      <c r="AK17" s="1247"/>
      <c r="AL17" s="1258"/>
      <c r="AM17" s="1248">
        <f>IF(ISNUMBER(Datos!R17),Datos!R17," - ")</f>
        <v>21</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40</v>
      </c>
      <c r="BD17" s="1218">
        <f>IF(ISNUMBER(Datos!N17),Datos!N17," - ")</f>
        <v>76</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0.87165775401069523</v>
      </c>
      <c r="BH17" s="1226">
        <f>IF(ISNUMBER(((IF(D_I="SI",Datos!L17/Datos!K17,(Datos!L17+Datos!AF17)/(Datos!K17+Datos!AE17)))*11)/factor_trimestre),((IF(D_I="SI",Datos!L17/Datos!K17,(Datos!L17+Datos!AF17)/(Datos!K17+Datos!AE17)))*11)/factor_trimestre," - ")</f>
        <v>9.9386503067484675</v>
      </c>
      <c r="BI17" s="1223">
        <f>IF(ISNUMBER('Resol  Asuntos'!D17/NºAsuntos!G17),'Resol  Asuntos'!D17/NºAsuntos!G17," - ")</f>
        <v>0.24539877300613497</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32</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18</v>
      </c>
      <c r="AC18" s="1215">
        <f>IF(ISNUMBER(Datos!Q18),Datos!Q18," - ")</f>
        <v>0</v>
      </c>
      <c r="AD18" s="1247"/>
      <c r="AE18" s="1262"/>
      <c r="AF18" s="1245">
        <f>IF(ISNUMBER(Datos!L18),Datos!L18,"-")</f>
        <v>34</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14</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0.94736842105263153</v>
      </c>
      <c r="BH18" s="1226">
        <f>IF(ISNUMBER(((IF(D_I="SI",Datos!L18/Datos!K18,(Datos!L18+Datos!AF18)/(Datos!K18+Datos!AE18)))*11)/factor_trimestre),((IF(D_I="SI",Datos!L18/Datos!K18,(Datos!L18+Datos!AF18)/(Datos!K18+Datos!AE18)))*11)/factor_trimestre," - ")</f>
        <v>5.666666666666667</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516</v>
      </c>
      <c r="G19" s="1391">
        <f>SUBTOTAL(9,G15:G18)</f>
        <v>547</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181</v>
      </c>
      <c r="AC19" s="1392">
        <f t="shared" si="4"/>
        <v>5</v>
      </c>
      <c r="AD19" s="1392">
        <f t="shared" si="4"/>
        <v>0</v>
      </c>
      <c r="AE19" s="1392">
        <f t="shared" si="4"/>
        <v>0</v>
      </c>
      <c r="AF19" s="1392">
        <f t="shared" si="4"/>
        <v>574</v>
      </c>
      <c r="AG19" s="1392">
        <f t="shared" si="4"/>
        <v>0</v>
      </c>
      <c r="AH19" s="1392">
        <f t="shared" si="4"/>
        <v>0</v>
      </c>
      <c r="AI19" s="1392">
        <f t="shared" si="4"/>
        <v>0</v>
      </c>
      <c r="AJ19" s="1392">
        <f t="shared" si="4"/>
        <v>0</v>
      </c>
      <c r="AK19" s="1392">
        <f t="shared" si="4"/>
        <v>0</v>
      </c>
      <c r="AL19" s="1392">
        <f t="shared" si="4"/>
        <v>0</v>
      </c>
      <c r="AM19" s="1392">
        <f t="shared" si="4"/>
        <v>21</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40</v>
      </c>
      <c r="BD19" s="1392">
        <f t="shared" si="4"/>
        <v>90</v>
      </c>
      <c r="BE19" s="1392">
        <f t="shared" si="4"/>
        <v>0</v>
      </c>
      <c r="BF19" s="1392">
        <f t="shared" si="4"/>
        <v>0</v>
      </c>
      <c r="BG19" s="1392">
        <f>IF(ISNUMBER(Datos!K19/Datos!J19),Datos!K19/Datos!J19," - ")</f>
        <v>0.87864077669902918</v>
      </c>
      <c r="BH19" s="1396">
        <f>IF(ISNUMBER(((Datos!L19/Datos!K19)*11)/factor_trimestre),((Datos!L19/Datos!K19)*11)/factor_trimestre," - ")</f>
        <v>9.5138121546961329</v>
      </c>
      <c r="BI19" s="1392">
        <f>SUBTOTAL(9,BI15:BI18)</f>
        <v>0.24539877300613497</v>
      </c>
      <c r="BJ19" s="1392">
        <f>SUBTOTAL(9,BJ15:BJ18)</f>
        <v>0</v>
      </c>
      <c r="BK19" s="1392">
        <f>SUBTOTAL(9,BK15:BK18)</f>
        <v>0</v>
      </c>
      <c r="BL19" s="1392">
        <f>IF(ISNUMBER((I19-AB19+L19)/(F19)),(I19-AB19+L19)/(F19)," - ")</f>
        <v>-0.35077519379844962</v>
      </c>
      <c r="BM19" s="1398">
        <f>IF(ISNUMBER((Datos!P19-Datos!Q19)/(Datos!R19-Datos!P19+Datos!Q19)),(Datos!P19-Datos!Q19)/(Datos!R19-Datos!P19+Datos!Q19)," - ")</f>
        <v>-0.19230769230769232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516</v>
      </c>
      <c r="G20" s="1367">
        <f t="shared" si="6"/>
        <v>547</v>
      </c>
      <c r="H20" s="1369">
        <f t="shared" si="6"/>
        <v>0</v>
      </c>
      <c r="I20" s="1367">
        <f t="shared" si="6"/>
        <v>0</v>
      </c>
      <c r="J20" s="1369">
        <f t="shared" si="6"/>
        <v>0</v>
      </c>
      <c r="K20" s="1369">
        <f t="shared" si="6"/>
        <v>0</v>
      </c>
      <c r="L20" s="1386">
        <f t="shared" si="6"/>
        <v>0</v>
      </c>
      <c r="M20" s="1386">
        <f t="shared" si="6"/>
        <v>0</v>
      </c>
      <c r="N20" s="1386">
        <f t="shared" si="6"/>
        <v>50</v>
      </c>
      <c r="O20" s="1386">
        <f t="shared" si="6"/>
        <v>0</v>
      </c>
      <c r="P20" s="1386">
        <f t="shared" si="6"/>
        <v>0</v>
      </c>
      <c r="Q20" s="1369">
        <f t="shared" si="6"/>
        <v>59</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181</v>
      </c>
      <c r="AC20" s="1368">
        <f t="shared" si="7"/>
        <v>51</v>
      </c>
      <c r="AD20" s="1368">
        <f t="shared" si="7"/>
        <v>0</v>
      </c>
      <c r="AE20" s="1368">
        <f t="shared" si="7"/>
        <v>0</v>
      </c>
      <c r="AF20" s="1371">
        <f t="shared" si="7"/>
        <v>574</v>
      </c>
      <c r="AG20" s="1371">
        <f t="shared" si="7"/>
        <v>0</v>
      </c>
      <c r="AH20" s="1371">
        <f t="shared" si="7"/>
        <v>97</v>
      </c>
      <c r="AI20" s="1371">
        <f t="shared" si="7"/>
        <v>0</v>
      </c>
      <c r="AJ20" s="1368">
        <f t="shared" si="7"/>
        <v>0</v>
      </c>
      <c r="AK20" s="1371">
        <f t="shared" si="7"/>
        <v>0</v>
      </c>
      <c r="AL20" s="1371">
        <f t="shared" si="7"/>
        <v>0</v>
      </c>
      <c r="AM20" s="1371">
        <f t="shared" si="7"/>
        <v>594</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73</v>
      </c>
      <c r="BD20" s="1367">
        <f t="shared" si="7"/>
        <v>113</v>
      </c>
      <c r="BE20" s="1367">
        <f t="shared" si="7"/>
        <v>0</v>
      </c>
      <c r="BF20" s="1373">
        <f t="shared" si="7"/>
        <v>0</v>
      </c>
      <c r="BG20" s="1404">
        <f>IF(ISNUMBER(Datos!K20/Datos!J20),Datos!K20/Datos!J20," - ")</f>
        <v>0.91981132075471694</v>
      </c>
      <c r="BH20" s="1404">
        <f>IF(ISNUMBER(((Datos!L20/Datos!K20)*11)/factor_trimestre),((Datos!L20/Datos!K20)*11)/factor_trimestre," - ")</f>
        <v>11.100000000000001</v>
      </c>
      <c r="BI20" s="1362">
        <f>IF(ISNUMBER(Datos!J20/Datos!I20),Datos!J20/Datos!I20," - ")</f>
        <v>0.30135039090262972</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-0.35077519379844962</v>
      </c>
      <c r="BM20" s="1387">
        <f>IF(ISNUMBER((Datos!P20-Datos!Q20+R20)/(Datos!R20-Datos!P20+Datos!Q20-R20)),(Datos!P20-Datos!Q20+R20)/(Datos!R20-Datos!P20+Datos!Q20-R20)," - ")</f>
        <v>1.3651877133105802E-2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218.8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297.91273890184692</v>
      </c>
      <c r="G22" s="1299">
        <f>IF(ISNUMBER(STDEV(G8:G19)),STDEV(G8:G19),"-")</f>
        <v>285.52180302036481</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91.440144356841429</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19.106717841289925</v>
      </c>
      <c r="BD22" s="1298"/>
      <c r="BE22" s="1298">
        <f>IF(ISNUMBER(STDEV(BE8:BE19)),STDEV(BE8:BE19),"-")</f>
        <v>0</v>
      </c>
      <c r="BF22" s="1303">
        <f>IF(ISNUMBER(STDEV(BF8:BF19)),STDEV(BF8:BF19),"-")</f>
        <v>0</v>
      </c>
      <c r="BG22" s="1360">
        <f>IF(ISNUMBER(STDEV(BG8:BG19)),STDEV(BG8:BG19),"-")</f>
        <v>4.4028361516691053E-2</v>
      </c>
      <c r="BH22" s="1361">
        <f>IF(ISNUMBER(STDEV(BH8:BH19)),STDEV(BH8:BH19),"-")</f>
        <v>2.7874522733134084</v>
      </c>
      <c r="BI22" s="1224">
        <f>IF(ISNUMBER(STDEV(BI8:BI19)),STDEV(BI8:BI19),"-")</f>
        <v>0.11620239892366169</v>
      </c>
      <c r="BJ22" s="1219" t="str">
        <f>IF(ISNUMBER(BL22/BM22),BL22/BM22," - ")</f>
        <v xml:space="preserve"> - </v>
      </c>
      <c r="BK22" s="1320"/>
      <c r="BL22" s="1306" t="str">
        <f>IF(ISNUMBER(STDEV(BL8:BL19)),STDEV(BL8:BL19),"-")</f>
        <v>-</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lgej74IjMzhKvenmD4A5KPHkpVKIHisucoW1jRHdFpLvCzOUr7TyqwSPTW7vikS9yMm1WyxDRG9zWFtqceP0Ew==" saltValue="ALp4By2n9gSWac5Z1RkZN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SEGOVIA  Resumenes por Partidos Judiciales  CUELLAR</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59</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46</v>
      </c>
      <c r="AA12" s="331" t="str">
        <f>IF(ISNUMBER(IF(J_V="SI",Datos!L12,Datos!L12+Datos!AB12)-IF(Monitorios="SI",Datos!CD12,0)),
                          IF(J_V="SI",Datos!L12,Datos!L12+Datos!AB12)-IF(Monitorios="SI",Datos!CD12,0),
                          " - ")</f>
        <v xml:space="preserve"> - </v>
      </c>
      <c r="AB12" s="333"/>
      <c r="AC12" s="333"/>
      <c r="AD12" s="483"/>
      <c r="AE12" s="483">
        <f>IF(ISNUMBER(Datos!R12),Datos!R12," - ")</f>
        <v>573</v>
      </c>
      <c r="AF12" s="228" t="str">
        <f>IF(ISNUMBER(Datos!BV12),Datos!BV12," - ")</f>
        <v xml:space="preserve"> - </v>
      </c>
      <c r="AG12" s="224" t="str">
        <f>IF(ISNUMBER(Datos!DV12),Datos!DV12," - ")</f>
        <v xml:space="preserve"> - </v>
      </c>
      <c r="AH12" s="297"/>
      <c r="AI12" s="226"/>
      <c r="AJ12" s="224">
        <f>IF(ISNUMBER(Datos!M12),Datos!M12," - ")</f>
        <v>33</v>
      </c>
      <c r="AK12" s="228">
        <f>IF(ISNUMBER(Datos!N12),Datos!N12," - ")</f>
        <v>23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12.437768240343347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2.3214285714285715E-2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0</v>
      </c>
      <c r="G13" s="895">
        <f>SUBTOTAL(9,G8:G12)</f>
        <v>0</v>
      </c>
      <c r="H13" s="905"/>
      <c r="I13" s="895">
        <f t="shared" ref="I13:N13" si="0">SUBTOTAL(9,I8:I12)</f>
        <v>0</v>
      </c>
      <c r="J13" s="864">
        <f t="shared" si="0"/>
        <v>0</v>
      </c>
      <c r="K13" s="905">
        <f t="shared" si="0"/>
        <v>0</v>
      </c>
      <c r="L13" s="905">
        <f t="shared" si="0"/>
        <v>0</v>
      </c>
      <c r="M13" s="905">
        <f t="shared" si="0"/>
        <v>0</v>
      </c>
      <c r="N13" s="905">
        <f t="shared" si="0"/>
        <v>59</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46</v>
      </c>
      <c r="AA13" s="897">
        <f t="shared" si="2"/>
        <v>0</v>
      </c>
      <c r="AB13" s="897">
        <f t="shared" si="2"/>
        <v>0</v>
      </c>
      <c r="AC13" s="897">
        <f t="shared" si="2"/>
        <v>0</v>
      </c>
      <c r="AD13" s="897">
        <f t="shared" si="2"/>
        <v>0</v>
      </c>
      <c r="AE13" s="897">
        <f t="shared" si="2"/>
        <v>573</v>
      </c>
      <c r="AF13" s="905">
        <f t="shared" si="2"/>
        <v>0</v>
      </c>
      <c r="AG13" s="905">
        <f t="shared" si="2"/>
        <v>0</v>
      </c>
      <c r="AH13" s="905">
        <f t="shared" si="2"/>
        <v>0</v>
      </c>
      <c r="AI13" s="905">
        <f t="shared" si="2"/>
        <v>0</v>
      </c>
      <c r="AJ13" s="905">
        <f t="shared" si="2"/>
        <v>33</v>
      </c>
      <c r="AK13" s="905">
        <f t="shared" si="2"/>
        <v>23</v>
      </c>
      <c r="AL13" s="905">
        <f t="shared" si="2"/>
        <v>0</v>
      </c>
      <c r="AM13" s="905">
        <f t="shared" si="2"/>
        <v>0</v>
      </c>
      <c r="AN13" s="905">
        <f t="shared" si="2"/>
        <v>0</v>
      </c>
      <c r="AO13" s="901">
        <f>IF(ISNUMBER(((NºAsuntos!I13/NºAsuntos!G13)*11)/factor_trimestre),((NºAsuntos!I13/NºAsuntos!G13)*11)/factor_trimestre," - ")</f>
        <v>12.437768240343347</v>
      </c>
      <c r="AP13" s="907" t="str">
        <f>IF(ISNUMBER(Datos!CI13/Datos!CJ13),Datos!CI13/Datos!CJ13," - ")</f>
        <v xml:space="preserve"> - </v>
      </c>
      <c r="AQ13" s="923">
        <f t="shared" ref="AQ13:AV13" si="3">SUBTOTAL(9,AQ9:AQ12)</f>
        <v>0</v>
      </c>
      <c r="AR13" s="923">
        <f t="shared" si="3"/>
        <v>2.3214285714285715E-2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516</v>
      </c>
      <c r="G17" s="224">
        <f>IF(ISNUMBER(IF(D_I="SI",Datos!I17,Datos!I17+Datos!AC17)),IF(D_I="SI",Datos!I17,Datos!I17+Datos!AC17)," - ")</f>
        <v>515</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163</v>
      </c>
      <c r="Z17" s="617">
        <f>IF(ISNUMBER(Datos!Q17),Datos!Q17," - ")</f>
        <v>5</v>
      </c>
      <c r="AA17" s="331">
        <f>IF(ISNUMBER(IF(D_I="SI",Datos!L17,Datos!L17+Datos!AF17)),IF(D_I="SI",Datos!L17,Datos!L17+Datos!AF17)," - ")</f>
        <v>540</v>
      </c>
      <c r="AB17" s="333"/>
      <c r="AC17" s="333"/>
      <c r="AD17" s="483"/>
      <c r="AE17" s="483">
        <f>IF(ISNUMBER(Datos!R17),Datos!R17," - ")</f>
        <v>21</v>
      </c>
      <c r="AF17" s="228" t="str">
        <f>IF(ISNUMBER(Datos!BV17),Datos!BV17," - ")</f>
        <v xml:space="preserve"> - </v>
      </c>
      <c r="AG17" s="224"/>
      <c r="AH17" s="297"/>
      <c r="AI17" s="226"/>
      <c r="AJ17" s="224">
        <f>IF(ISNUMBER(Datos!M17),Datos!M17," - ")</f>
        <v>40</v>
      </c>
      <c r="AK17" s="228">
        <f>IF(ISNUMBER(Datos!N17),Datos!N17," - ")</f>
        <v>76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9.9386503067484675</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32</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18</v>
      </c>
      <c r="Z18" s="617">
        <f>IF(ISNUMBER(Datos!Q18),Datos!Q18," - ")</f>
        <v>0</v>
      </c>
      <c r="AA18" s="331">
        <f>IF(ISNUMBER(Datos!L18),Datos!L18,"-")</f>
        <v>34</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14</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5.666666666666667</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516</v>
      </c>
      <c r="G19" s="895">
        <f>SUBTOTAL(9,G15:G18)</f>
        <v>547</v>
      </c>
      <c r="H19" s="927">
        <f>SUBTOTAL(9,H15:H18)</f>
        <v>0</v>
      </c>
      <c r="I19" s="908">
        <f>SUBTOTAL(9,I15:I18)</f>
        <v>0</v>
      </c>
      <c r="J19" s="864">
        <f>SUBTOTAL(9,J14:J18)</f>
        <v>0</v>
      </c>
      <c r="K19" s="927">
        <f t="shared" ref="K19:S19" si="4">SUBTOTAL(9,K15:K18)</f>
        <v>0</v>
      </c>
      <c r="L19" s="927">
        <f t="shared" si="4"/>
        <v>0</v>
      </c>
      <c r="M19" s="927">
        <f t="shared" si="4"/>
        <v>0</v>
      </c>
      <c r="N19" s="927">
        <f t="shared" si="4"/>
        <v>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181</v>
      </c>
      <c r="Z19" s="927">
        <f t="shared" si="5"/>
        <v>5</v>
      </c>
      <c r="AA19" s="927">
        <f t="shared" si="5"/>
        <v>574</v>
      </c>
      <c r="AB19" s="927">
        <f t="shared" si="5"/>
        <v>0</v>
      </c>
      <c r="AC19" s="927">
        <f t="shared" si="5"/>
        <v>0</v>
      </c>
      <c r="AD19" s="927">
        <f t="shared" si="5"/>
        <v>0</v>
      </c>
      <c r="AE19" s="927">
        <f t="shared" si="5"/>
        <v>21</v>
      </c>
      <c r="AF19" s="927">
        <f t="shared" si="5"/>
        <v>0</v>
      </c>
      <c r="AG19" s="927">
        <f t="shared" si="5"/>
        <v>0</v>
      </c>
      <c r="AH19" s="927">
        <f t="shared" si="5"/>
        <v>0</v>
      </c>
      <c r="AI19" s="927">
        <f t="shared" si="5"/>
        <v>0</v>
      </c>
      <c r="AJ19" s="927">
        <f t="shared" si="5"/>
        <v>40</v>
      </c>
      <c r="AK19" s="927">
        <f t="shared" si="5"/>
        <v>90</v>
      </c>
      <c r="AL19" s="927">
        <f t="shared" si="5"/>
        <v>0</v>
      </c>
      <c r="AM19" s="927">
        <f t="shared" si="5"/>
        <v>0</v>
      </c>
      <c r="AN19" s="927">
        <f t="shared" si="5"/>
        <v>0</v>
      </c>
      <c r="AO19" s="929">
        <f>IF(ISNUMBER(((NºAsuntos!I19/NºAsuntos!G19)*11)/factor_trimestre),((NºAsuntos!I19/NºAsuntos!G19)*11)/factor_trimestre," - ")</f>
        <v>9.5138121546961329</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516</v>
      </c>
      <c r="G20" s="817">
        <f t="shared" si="7"/>
        <v>547</v>
      </c>
      <c r="H20" s="818">
        <f t="shared" si="7"/>
        <v>0</v>
      </c>
      <c r="I20" s="817">
        <f t="shared" si="7"/>
        <v>0</v>
      </c>
      <c r="J20" s="819">
        <f t="shared" si="7"/>
        <v>0</v>
      </c>
      <c r="K20" s="817">
        <f t="shared" si="7"/>
        <v>0</v>
      </c>
      <c r="L20" s="820">
        <f t="shared" si="7"/>
        <v>0</v>
      </c>
      <c r="M20" s="817">
        <f t="shared" si="7"/>
        <v>0</v>
      </c>
      <c r="N20" s="818">
        <f t="shared" si="7"/>
        <v>59</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181</v>
      </c>
      <c r="Z20" s="824">
        <f t="shared" si="8"/>
        <v>51</v>
      </c>
      <c r="AA20" s="825">
        <f t="shared" si="8"/>
        <v>574</v>
      </c>
      <c r="AB20" s="825">
        <f t="shared" si="8"/>
        <v>0</v>
      </c>
      <c r="AC20" s="825">
        <f t="shared" si="8"/>
        <v>0</v>
      </c>
      <c r="AD20" s="826">
        <f t="shared" si="8"/>
        <v>0</v>
      </c>
      <c r="AE20" s="826">
        <f t="shared" si="8"/>
        <v>594</v>
      </c>
      <c r="AF20" s="827">
        <f t="shared" si="8"/>
        <v>0</v>
      </c>
      <c r="AG20" s="828">
        <f t="shared" si="8"/>
        <v>0</v>
      </c>
      <c r="AH20" s="829">
        <f t="shared" si="8"/>
        <v>0</v>
      </c>
      <c r="AI20" s="827">
        <f t="shared" si="8"/>
        <v>0</v>
      </c>
      <c r="AJ20" s="817">
        <f t="shared" si="8"/>
        <v>73</v>
      </c>
      <c r="AK20" s="817">
        <f t="shared" si="8"/>
        <v>113</v>
      </c>
      <c r="AL20" s="817">
        <f t="shared" si="8"/>
        <v>0</v>
      </c>
      <c r="AM20" s="830">
        <f t="shared" si="8"/>
        <v>0</v>
      </c>
      <c r="AN20" s="820">
        <f>IF(ISNUMBER(Datos!K20/Datos!J20),Datos!K20/Datos!J20," - ")</f>
        <v>0.91981132075471694</v>
      </c>
      <c r="AO20" s="820">
        <f>IF(ISNUMBER(FIND("06",Criterios!A8,1)),(IF(ISNUMBER(((Datos!R20/Datos!Q20)*11)/factor_trimestre),((Datos!R20/Datos!Q20)*11)/factor_trimestre," - ")),(IF(ISNUMBER(((Datos!L20/Datos!K20)*11)/factor_trimestre),((Datos!L20/Datos!K20)*11)/factor_trimestre," - ")))</f>
        <v>11.100000000000001</v>
      </c>
      <c r="AP20" s="831" t="str">
        <f>IF(ISNUMBER(Datos!CI20/Datos!CJ20),Datos!CI20/Datos!CJ20," - ")</f>
        <v xml:space="preserve"> - </v>
      </c>
      <c r="AQ20" s="831">
        <f>IF(OR(ISNUMBER(FIND("01",Criterios!A8,1)),ISNUMBER(FIND("02",Criterios!A8,1)),ISNUMBER(FIND("03",Criterios!A8,1)),ISNUMBER(FIND("04",Criterios!A8,1))),(J20-Y20+K20)/(F20-K20),(I20-Y20+K20)/(F20-K20))</f>
        <v>-0.35077519379844962</v>
      </c>
      <c r="AR20" s="831">
        <f>IF(ISNUMBER((Datos!P20-Datos!Q20+O20)/(Datos!R20-Datos!P20+Datos!Q20-O20)),(Datos!P20-Datos!Q20+O20)/(Datos!R20-Datos!P20+Datos!Q20-O20)," - ")</f>
        <v>1.3651877133105802E-2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218.8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297.91273890184692</v>
      </c>
      <c r="G22" s="551">
        <f>IF(ISNUMBER(STDEV(G8:G19)),STDEV(G8:G19),"-")</f>
        <v>285.52180302036481</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19.106717841289925</v>
      </c>
      <c r="AK22" s="251"/>
      <c r="AL22" s="251">
        <f>IF(ISNUMBER(STDEV(AL8:AL19)),STDEV(AL8:AL19),"-")</f>
        <v>0</v>
      </c>
      <c r="AM22" s="253">
        <f>IF(ISNUMBER(STDEV(AM8:AM19)),STDEV(AM8:AM19),"-")</f>
        <v>0</v>
      </c>
      <c r="AN22" s="538">
        <f>IF(ISNUMBER(STDEV(AN8:AN19)),STDEV(AN8:AN19),"-")</f>
        <v>0</v>
      </c>
      <c r="AO22" s="539">
        <f>IF(ISNUMBER(STDEV(AO8:AO19)),STDEV(AO8:AO19),"-")</f>
        <v>2.7795387422946902</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4FULegRp3c/oEm6P4SGrdtZIkNuv3jxtr7JaAynvbAKyM0+5t14Za0NqoQb45B+FEru214A3j/cQuY2XbL8BXQ==" saltValue="WfPA657J6QmN3ZhbE5ljz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sTEGzhs4Pjbfy+ejTgvEjfMvduATvL6Rb2ZcYBOclu99UsvS0v/u9So8ZtKKHirRv9Ml/F2oiDDY5JHWZZBUgQ==" saltValue="oEUXB8jSmpgj0t7Bcpfq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SEGOVIA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tkbxXj+owLKVT6FyYoDFUfndiOTecLU9inYIrfC61apfSPcXUb1afbRXA37GVIMW2um7Bz90v1N9ELgtExdRUg==" saltValue="XE7St8v/+OlbOKIJ0Xl1Z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 Y LEON</v>
      </c>
    </row>
    <row r="2" spans="1:78" ht="16.5" customHeight="1">
      <c r="C2" s="1263" t="str">
        <f>Criterios!A10 &amp;"  "&amp;Criterios!B10 &amp; "  " &amp; IF(NOT(ISBLANK(Criterios!A11)),Criterios!A11 &amp;"  "&amp;Criterios!B11,"")</f>
        <v>Provincias  SEGOVIA  Resumenes por Partidos Judiciales  CUELLAR</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0.14163090128755365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0.10014817072599172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MFj/bZ8mjqjqJBA0Bg5068+kKemP5GJ6UCZBJW5Cg7YnII2XfkMMx162S1N6l4z7tAPCq9JrYnT9SY/WpUTceg==" saltValue="LgpXKaXvuWy8V8EiJ4LMX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G7eZXuDhbUr3//UGjAbIxohi9dCWyq9lr5bzckrXWbYEul8vBHz/Euo/HllqOu/pfQABtUomnwOKRZf7csLBA==" saltValue="NTJ+MpqBwfDXb1/99Ny1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SEGOVIA</v>
      </c>
      <c r="D3" s="374"/>
      <c r="E3" s="374"/>
      <c r="F3" s="374"/>
      <c r="BQ3" s="470"/>
    </row>
    <row r="4" spans="1:69" ht="13.5" thickBot="1">
      <c r="A4" s="374"/>
      <c r="B4" s="390" t="str">
        <f>Criterios!A11 &amp;"  "&amp;Criterios!B11</f>
        <v>Resumenes por Partidos Judiciales  CUELLAR</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931</v>
      </c>
      <c r="D12" s="403">
        <f>IF(ISNUMBER(C12/Datos!BH12),C12/Datos!BH12," - ")</f>
        <v>931</v>
      </c>
      <c r="E12" s="402">
        <f>IF(ISNUMBER(IF(J_V="SI",Datos!J12,Datos!J12+Datos!Z12)),IF(J_V="SI",Datos!J12,Datos!J12+Datos!Z12)," - ")</f>
        <v>268</v>
      </c>
      <c r="F12" s="403">
        <f>IF(ISNUMBER(E12/B12),E12/B12," - ")</f>
        <v>268</v>
      </c>
      <c r="G12" s="402">
        <f>IF(ISNUMBER(IF(J_V="SI",Datos!K12,Datos!K12+Datos!AA12)),IF(J_V="SI",Datos!K12,Datos!K12+Datos!AA12)," - ")</f>
        <v>233</v>
      </c>
      <c r="H12" s="403">
        <f>IF(ISNUMBER(G12/B12),G12/B12," - ")</f>
        <v>233</v>
      </c>
      <c r="I12" s="402">
        <f>IF(ISNUMBER(IF(J_V="SI",Datos!L12,Datos!L12+Datos!AB12)),IF(J_V="SI",Datos!L12,Datos!L12+Datos!AB12)," - ")</f>
        <v>966</v>
      </c>
      <c r="J12" s="403">
        <f>IF(ISNUMBER(I12/B12),I12/B12," - ")</f>
        <v>966</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931</v>
      </c>
      <c r="D13" s="847" t="str">
        <f>IF(ISNUMBER(C13/Datos!BI13),C13/Datos!BI13," - ")</f>
        <v xml:space="preserve"> - </v>
      </c>
      <c r="E13" s="846">
        <f>SUBTOTAL(9,E8:E12)</f>
        <v>268</v>
      </c>
      <c r="F13" s="847">
        <f>IF(ISNUMBER(E13/B13),E13/B13," - ")</f>
        <v>268</v>
      </c>
      <c r="G13" s="846">
        <f>SUBTOTAL(9,G8:G12)</f>
        <v>233</v>
      </c>
      <c r="H13" s="847">
        <f>IF(ISNUMBER(G13/B13),G13/B13," - ")</f>
        <v>233</v>
      </c>
      <c r="I13" s="846">
        <f>SUBTOTAL(9,I8:I12)</f>
        <v>966</v>
      </c>
      <c r="J13" s="847">
        <f>IF(ISNUMBER(I13/B13),I13/B13," - ")</f>
        <v>966</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515</v>
      </c>
      <c r="D17" s="403">
        <f>IF(ISNUMBER(C17/Datos!BH17),C17/Datos!BH17," - ")</f>
        <v>515</v>
      </c>
      <c r="E17" s="402">
        <f>IF(ISNUMBER(IF(D_I="SI",Datos!J17,Datos!J17+Datos!AD17)),IF(D_I="SI",Datos!J17,Datos!J17+Datos!AD17)," - ")</f>
        <v>187</v>
      </c>
      <c r="F17" s="403">
        <f>IF(ISNUMBER(E17/B17),E17/B17," - ")</f>
        <v>187</v>
      </c>
      <c r="G17" s="402">
        <f>IF(ISNUMBER(IF(D_I="SI",Datos!K17,Datos!K17+Datos!AE17)),IF(D_I="SI",Datos!K17,Datos!K17+Datos!AE17)," - ")</f>
        <v>163</v>
      </c>
      <c r="H17" s="403">
        <f>IF(ISNUMBER(G17/B17),G17/B17," - ")</f>
        <v>163</v>
      </c>
      <c r="I17" s="402">
        <f>IF(ISNUMBER(IF(D_I="SI",Datos!L17,Datos!L17+Datos!AF17)),IF(D_I="SI",Datos!L17,Datos!L17+Datos!AF17)," - ")</f>
        <v>540</v>
      </c>
      <c r="J17" s="403">
        <f>IF(ISNUMBER(I17/B17),I17/B17," - ")</f>
        <v>540</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32</v>
      </c>
      <c r="D18" s="403">
        <f>IF(ISNUMBER(C18/Datos!BH18),C18/Datos!BH18," - ")</f>
        <v>32</v>
      </c>
      <c r="E18" s="402">
        <f>IF(ISNUMBER(IF(D_I="SI",Datos!J18,Datos!J18+Datos!AD18)),IF(D_I="SI",Datos!J18,Datos!J18+Datos!AD18)," - ")</f>
        <v>19</v>
      </c>
      <c r="F18" s="403">
        <f>IF(ISNUMBER(E18/B18),E18/B18," - ")</f>
        <v>19</v>
      </c>
      <c r="G18" s="402">
        <f>IF(ISNUMBER(IF(D_I="SI",Datos!K18,Datos!K18+Datos!AE18)),IF(D_I="SI",Datos!K18,Datos!K18+Datos!AE18)," - ")</f>
        <v>18</v>
      </c>
      <c r="H18" s="403">
        <f>IF(ISNUMBER(G18/B18),G18/B18," - ")</f>
        <v>18</v>
      </c>
      <c r="I18" s="402">
        <f>IF(ISNUMBER(IF(D_I="SI",Datos!L18,Datos!L18+Datos!AF18)),IF(D_I="SI",Datos!L18,Datos!L18+Datos!AF18)," - ")</f>
        <v>34</v>
      </c>
      <c r="J18" s="403">
        <f>IF(ISNUMBER(I18/B18),I18/B18," - ")</f>
        <v>34</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547</v>
      </c>
      <c r="D19" s="847" t="str">
        <f>IF(ISNUMBER(C19/Datos!BI19),C19/Datos!BI19," - ")</f>
        <v xml:space="preserve"> - </v>
      </c>
      <c r="E19" s="846">
        <f>SUBTOTAL(9,E14:E18)</f>
        <v>206</v>
      </c>
      <c r="F19" s="847">
        <f>IF(ISNUMBER(E19/B19),E19/B19," - ")</f>
        <v>206</v>
      </c>
      <c r="G19" s="846">
        <f>SUBTOTAL(9,G14:G18)</f>
        <v>181</v>
      </c>
      <c r="H19" s="847">
        <f>IF(ISNUMBER(G19/B19),G19/B19," - ")</f>
        <v>181</v>
      </c>
      <c r="I19" s="846">
        <f>SUBTOTAL(9,I14:I18)</f>
        <v>574</v>
      </c>
      <c r="J19" s="847">
        <f>IF(ISNUMBER(I19/B19),I19/B19," - ")</f>
        <v>574</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1478</v>
      </c>
      <c r="D20" s="792" t="str">
        <f>IF(ISNUMBER(C20/Datos!BI20),C20/Datos!BI20," - ")</f>
        <v xml:space="preserve"> - </v>
      </c>
      <c r="E20" s="791">
        <f>SUBTOTAL(9,E9:E19)</f>
        <v>474</v>
      </c>
      <c r="F20" s="792">
        <f>IF(ISNUMBER(E20/B20),E20/B20," - ")</f>
        <v>474</v>
      </c>
      <c r="G20" s="791">
        <f>SUBTOTAL(9,G9:G19)</f>
        <v>414</v>
      </c>
      <c r="H20" s="792">
        <f>IF(ISNUMBER(G20/B20),G20/B20," - ")</f>
        <v>414</v>
      </c>
      <c r="I20" s="791">
        <f>SUBTOTAL(9,I9:I19)</f>
        <v>1540</v>
      </c>
      <c r="J20" s="792">
        <f>IF(ISNUMBER(I20/B20),I20/B20," - ")</f>
        <v>1540</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Ate/n+cCkQtHvACfsvY4GRwB3HV0h4q4SaSKqzeYHNaA6O6VQsDDDg63t9lZQZNBzah+dqNZof7TYKRDo1Fq3Q==" saltValue="8kX3GHzr2rNSkEv7NNdF5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 Y LEON</v>
      </c>
      <c r="W1"/>
      <c r="X1"/>
    </row>
    <row r="2" spans="1:78" ht="16.5" customHeight="1">
      <c r="C2" s="487" t="str">
        <f>Criterios!A10 &amp;"  "&amp;Criterios!B10 &amp; "  " &amp; IF(NOT(ISBLANK(Criterios!A11)),Criterios!A11 &amp;"  "&amp;Criterios!B11,"")</f>
        <v>Provincias  SEGOVIA  Resumenes por Partidos Judiciales  CUELLAR</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0</v>
      </c>
      <c r="G10" s="681">
        <f>IF(ISNUMBER(Datos!I10),Datos!I10," - ")</f>
        <v>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59</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46</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573</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33</v>
      </c>
      <c r="AM12" s="687">
        <f>IF(ISNUMBER(Datos!N12+DatosP!N17),Datos!N12+DatosP!N17," - ")</f>
        <v>23</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12.437768240343347</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2.3214285714285715E-2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0</v>
      </c>
      <c r="G13" s="933">
        <f t="shared" si="0"/>
        <v>0</v>
      </c>
      <c r="H13" s="933">
        <f t="shared" si="0"/>
        <v>0</v>
      </c>
      <c r="I13" s="935">
        <f t="shared" si="0"/>
        <v>0</v>
      </c>
      <c r="J13" s="934">
        <f t="shared" si="0"/>
        <v>0</v>
      </c>
      <c r="K13" s="934">
        <f t="shared" si="0"/>
        <v>0</v>
      </c>
      <c r="L13" s="936">
        <f t="shared" si="0"/>
        <v>0</v>
      </c>
      <c r="M13" s="936">
        <f t="shared" si="0"/>
        <v>0</v>
      </c>
      <c r="N13" s="934">
        <f t="shared" si="0"/>
        <v>59</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46</v>
      </c>
      <c r="AE13" s="934">
        <f t="shared" si="1"/>
        <v>0</v>
      </c>
      <c r="AF13" s="934">
        <f t="shared" si="1"/>
        <v>0</v>
      </c>
      <c r="AG13" s="934">
        <f t="shared" si="1"/>
        <v>0</v>
      </c>
      <c r="AH13" s="934">
        <f t="shared" si="1"/>
        <v>573</v>
      </c>
      <c r="AI13" s="934">
        <f t="shared" si="1"/>
        <v>0</v>
      </c>
      <c r="AJ13" s="934">
        <f t="shared" si="1"/>
        <v>0</v>
      </c>
      <c r="AK13" s="934">
        <f t="shared" si="1"/>
        <v>0</v>
      </c>
      <c r="AL13" s="934">
        <f t="shared" si="1"/>
        <v>33</v>
      </c>
      <c r="AM13" s="934">
        <f t="shared" si="1"/>
        <v>23</v>
      </c>
      <c r="AN13" s="934">
        <f t="shared" si="1"/>
        <v>0</v>
      </c>
      <c r="AO13" s="934">
        <f t="shared" si="1"/>
        <v>0</v>
      </c>
      <c r="AP13" s="939">
        <f>IF(ISNUMBER(((Datos!L13/Datos!K13)*11)/factor_trimestre),((Datos!L13/Datos!K13)*11)/factor_trimestre," - ")</f>
        <v>12.473684210526317</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t="e">
        <f>IF(OR(ISNUMBER(FIND("04",Criterios!A8,1))),(BC13-AB13+J13)/(F13-J13),(H13-AB13+J13)/(F13-J13))</f>
        <v>#DIV/0!</v>
      </c>
      <c r="AU13" s="934" t="str">
        <f>IF(ISNUMBER((DatosP!#REF!-DatosP!#REF!+DatosP!#REF!)/(DatosP!#REF!+DatosP!#REF!-DatosP!#REF!-DatosP!#REF!)),(DatosP!#REF!-DatosP!#REF!+DatosP!#REF!)/(DatosP!#REF!+DatosP!#REF!-DatosP!#REF!-DatosP!#REF!)," - ")</f>
        <v xml:space="preserve"> - </v>
      </c>
      <c r="AV13" s="940">
        <f>SUBTOTAL(9,AV9:AV12)</f>
        <v>2.3214285714285715E-2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9.5138121546961329</v>
      </c>
      <c r="AQ19" s="939">
        <f>IF(ISNUMBER(((Datos!M19/Datos!L19)*11)/factor_trimestre),((Datos!M19/Datos!L19)*11)/factor_trimestre," - ")</f>
        <v>0.20905923344947733</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-0.19230769230769232</v>
      </c>
      <c r="AW19" s="941">
        <f>IF(ISNUMBER((Datos!Q19-Datos!R19)/(Datos!S19-Datos!Q19+Datos!R19)),(Datos!Q19-Datos!R19)/(Datos!S19-Datos!Q19+Datos!R19)," - ")</f>
        <v>-3.2854209445585217E-2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0</v>
      </c>
      <c r="G20" s="946">
        <f t="shared" si="4"/>
        <v>0</v>
      </c>
      <c r="H20" s="946">
        <f t="shared" si="4"/>
        <v>0</v>
      </c>
      <c r="I20" s="947">
        <f t="shared" si="4"/>
        <v>0</v>
      </c>
      <c r="J20" s="948">
        <f t="shared" si="4"/>
        <v>0</v>
      </c>
      <c r="K20" s="948">
        <f t="shared" si="4"/>
        <v>0</v>
      </c>
      <c r="L20" s="948">
        <f t="shared" si="4"/>
        <v>0</v>
      </c>
      <c r="M20" s="948">
        <f t="shared" si="4"/>
        <v>0</v>
      </c>
      <c r="N20" s="947">
        <f t="shared" si="4"/>
        <v>59</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46</v>
      </c>
      <c r="AE20" s="952">
        <f t="shared" si="5"/>
        <v>0</v>
      </c>
      <c r="AF20" s="953">
        <f t="shared" si="5"/>
        <v>0</v>
      </c>
      <c r="AG20" s="953">
        <f t="shared" si="5"/>
        <v>0</v>
      </c>
      <c r="AH20" s="953">
        <f t="shared" si="5"/>
        <v>573</v>
      </c>
      <c r="AI20" s="953">
        <f t="shared" si="5"/>
        <v>0</v>
      </c>
      <c r="AJ20" s="954">
        <f t="shared" si="5"/>
        <v>0</v>
      </c>
      <c r="AK20" s="954">
        <f t="shared" si="5"/>
        <v>0</v>
      </c>
      <c r="AL20" s="946">
        <f t="shared" si="5"/>
        <v>33</v>
      </c>
      <c r="AM20" s="946">
        <f t="shared" si="5"/>
        <v>23</v>
      </c>
      <c r="AN20" s="946">
        <f t="shared" si="5"/>
        <v>0</v>
      </c>
      <c r="AO20" s="946">
        <f t="shared" si="5"/>
        <v>0</v>
      </c>
      <c r="AP20" s="946">
        <f>IF(ISNUMBER(((Datos!L20/Datos!K20)*11)/factor_trimestre),((Datos!L20/Datos!K20)*11)/factor_trimestre," - ")</f>
        <v>11.100000000000001</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t="e">
        <f>IF(OR(ISNUMBER(FIND("04",Criterios!A8,1))),(BC20-AB20+J20)/(F20-J20),(H20-AB20+J20)/(F20-J20))</f>
        <v>#DIV/0!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1.3651877133105802E-2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0</v>
      </c>
      <c r="G22" s="734">
        <f>IF(ISNUMBER(STDEV(G8:G19)),STDEV(G8:G19),"-")</f>
        <v>0</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19.05255888325765</v>
      </c>
      <c r="AM22" s="733"/>
      <c r="AN22" s="733">
        <f>IF(ISNUMBER(STDEV(AN8:AN19)),STDEV(AN8:AN19),"-")</f>
        <v>0</v>
      </c>
      <c r="AO22" s="739">
        <f>IF(ISNUMBER(STDEV(AO8:AO19)),STDEV(AO8:AO19),"-")</f>
        <v>0</v>
      </c>
      <c r="AP22" s="776">
        <f>IF(ISNUMBER(STDEV(AP8:AP19)),STDEV(AP8:AP19),"-")</f>
        <v>1.6986098107271768</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BN4zDB82KiVD/KOeAzFrqIbscLQe04sCOAH8pcyiLwVBQiQwU0QlRregh2AKnHBaInqTaAu4sBfEh5P+Yiauhg==" saltValue="GFSFg7Uz1ExL67JN/MZWM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 Y LEON</v>
      </c>
    </row>
    <row r="2" spans="1:168" ht="16.5" customHeight="1">
      <c r="C2" s="487" t="str">
        <f>Criterios!A10 &amp;"  "&amp;Criterios!B10 &amp; "  " &amp; IF(NOT(ISBLANK(Criterios!A11)),Criterios!A11 &amp;"  "&amp;Criterios!B11,"")</f>
        <v>Provincias  SEGOVIA  Resumenes por Partidos Judiciales  CUELLAR</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63.444014435684139</v>
      </c>
      <c r="CF9" s="228">
        <f ca="1">AVERAGEIFS($AB:$AB,$BW:$BW,BW9,$BX:$BX,BX9)</f>
        <v>63.444014435684139</v>
      </c>
      <c r="CG9" s="1191">
        <v>0.7</v>
      </c>
      <c r="CH9" s="1191">
        <f ca="1">AVERAGEIF($BW:$BW,$BW9,$AC:$AC)</f>
        <v>15.3</v>
      </c>
      <c r="CI9" s="228">
        <f ca="1">AVERAGEIFS($AC:$AC,$BW:$BW,$BW9,$BX:$BX,$BX9)</f>
        <v>15.3</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191.33333333333334</v>
      </c>
      <c r="CR9" s="228">
        <f ca="1">AVERAGEIFS($AF:$AF,$BW:$BW,BW9,$BX:$BX,BX9)</f>
        <v>191.33333333333334</v>
      </c>
      <c r="CS9" s="1191">
        <v>1.3</v>
      </c>
      <c r="CT9" s="1191">
        <v>1.5</v>
      </c>
      <c r="CU9" s="1191">
        <f ca="1">AVERAGEIF($BW:$BW,$BW9,$AH:$AH)</f>
        <v>41.571428571428569</v>
      </c>
      <c r="CV9" s="228">
        <f ca="1">AVERAGEIFS($AH:$AH,$BW:$BW,$BW9,$BX:$BX,$BX9)</f>
        <v>41.571428571428569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178.2</v>
      </c>
      <c r="DH9" s="1218">
        <f ca="1">AVERAGEIFS($AM:$AM,$BW:$BW,$BW9,$BX:$BX,$BX9)</f>
        <v>178.2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6.3918033852294336</v>
      </c>
      <c r="ER9" s="1218">
        <f ca="1">AVERAGEIFS($BH:$BH,$BW:$BW,$BW9,$BX:$BX,$BX9)</f>
        <v>6.3918033852294336</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0</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63.444014435684139</v>
      </c>
      <c r="CF10" s="228">
        <f ca="1">AVERAGEIFS($AB:$AB,$BW:$BW,BW10,$BX:$BX,BX10)</f>
        <v>63.444014435684139</v>
      </c>
      <c r="CG10" s="1191">
        <v>0.7</v>
      </c>
      <c r="CH10" s="1191">
        <f ca="1">AVERAGEIF($BW:$BW,BW10,$AC:$AC)</f>
        <v>15.3</v>
      </c>
      <c r="CI10" s="228">
        <f ca="1">AVERAGEIFS($AC:$AC,$BW:$BW,BW10,$BX:$BX,BX10)</f>
        <v>15.3</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191.33333333333334</v>
      </c>
      <c r="CR10" s="228">
        <f ca="1">AVERAGEIFS($AF:$AF,$BW:$BW,BW10,$BX:$BX,BX10)</f>
        <v>191.33333333333334</v>
      </c>
      <c r="CS10" s="1191">
        <v>1.3</v>
      </c>
      <c r="CT10" s="1191">
        <v>1.5</v>
      </c>
      <c r="CU10" s="1191">
        <f ca="1">AVERAGEIF($BW:$BW,$BW10,$AH:$AH)</f>
        <v>41.571428571428569</v>
      </c>
      <c r="CV10" s="228">
        <f ca="1">AVERAGEIFS($AH:$AH,$BW:$BW,$BW10,$BX:$BX,$BX10)</f>
        <v>41.571428571428569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178.2</v>
      </c>
      <c r="DH10" s="1218">
        <f ca="1">AVERAGEIFS($AM:$AM,$BW:$BW,$BW10,$BX:$BX,$BX10)</f>
        <v>178.2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6.3918033852294336</v>
      </c>
      <c r="ER10" s="1218">
        <f ca="1">AVERAGEIFS($BH:$BH,$BW:$BW,$BW10,$BX:$BX,$BX10)</f>
        <v>6.3918033852294336</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63.444014435684139</v>
      </c>
      <c r="CF11" s="228">
        <f ca="1">AVERAGEIFS($AB:$AB,$BW:$BW,BW11,$BX:$BX,BX11)</f>
        <v>63.444014435684139</v>
      </c>
      <c r="CG11" s="1191">
        <v>0.7</v>
      </c>
      <c r="CH11" s="1191">
        <f ca="1">AVERAGEIF($BW:$BW,BW11,$AC:$AC)</f>
        <v>15.3</v>
      </c>
      <c r="CI11" s="228">
        <f ca="1">AVERAGEIFS($AC:$AC,$BW:$BW,BW11,$BX:$BX,BX11)</f>
        <v>15.3</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191.33333333333334</v>
      </c>
      <c r="CR11" s="228">
        <f ca="1">AVERAGEIFS($AF:$AF,$BW:$BW,BW11,$BX:$BX,BX11)</f>
        <v>191.33333333333334</v>
      </c>
      <c r="CS11" s="1191">
        <v>1.3</v>
      </c>
      <c r="CT11" s="1191">
        <v>1.5</v>
      </c>
      <c r="CU11" s="1191">
        <f ca="1">AVERAGEIF($BW:$BW,$BW11,$AH:$AH)</f>
        <v>41.571428571428569</v>
      </c>
      <c r="CV11" s="228">
        <f ca="1">AVERAGEIFS($AH:$AH,$BW:$BW,$BW11,$BX:$BX,$BX11)</f>
        <v>41.571428571428569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178.2</v>
      </c>
      <c r="DH11" s="1218">
        <f ca="1">AVERAGEIFS($AM:$AM,$BW:$BW,$BW11,$BX:$BX,$BX11)</f>
        <v>178.2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6.3918033852294336</v>
      </c>
      <c r="ER11" s="1218">
        <f ca="1">AVERAGEIFS($BH:$BH,$BW:$BW,$BW11,$BX:$BX,$BX11)</f>
        <v>6.3918033852294336</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50</v>
      </c>
      <c r="O12" s="333"/>
      <c r="P12" s="333"/>
      <c r="Q12" s="225">
        <f>IF(ISNUMBER(Datos!P12),Datos!P12,0)</f>
        <v>59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46</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97</v>
      </c>
      <c r="AI12" s="224" t="str">
        <f>IF(ISNUMBER(Datos!CD12),Datos!CD12,"-")</f>
        <v>-</v>
      </c>
      <c r="AJ12" s="1214" t="str">
        <f>IF(ISNUMBER(Datos!EN12),Datos!EN12," - ")</f>
        <v xml:space="preserve"> - </v>
      </c>
      <c r="AK12" s="333"/>
      <c r="AL12" s="478"/>
      <c r="AM12" s="1214">
        <f>IF(ISNUMBER(Datos!R12),Datos!R12," - ")</f>
        <v>573</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33</v>
      </c>
      <c r="BD12" s="228">
        <f>IF(ISNUMBER(Datos!N12),Datos!N12," - ")</f>
        <v>23</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0.86940298507462688</v>
      </c>
      <c r="BH12" s="1214">
        <f>IF(ISNUMBER(((IF(J_V="SI",Datos!L12/Datos!K12,(Datos!L12+Datos!AB12)/(Datos!K12+Datos!AA12)))*11)/factor_trimestre),((IF(J_V="SI",Datos!L12/Datos!K12,(Datos!L12+Datos!AB12)/(Datos!K12+Datos!AA12)))*11)/factor_trimestre," - ")</f>
        <v>12.437768240343347</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2.3214285714285715E-2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63.444014435684139</v>
      </c>
      <c r="CF12" s="228">
        <f ca="1">AVERAGEIFS($AB:$AB,$BW:$BW,BW12,$BX:$BX,BX12)</f>
        <v>63.444014435684139</v>
      </c>
      <c r="CG12" s="1191">
        <v>0.7</v>
      </c>
      <c r="CH12" s="1191">
        <f ca="1">AVERAGEIF($BW:$BW,BW12,$AC:$AC)</f>
        <v>15.3</v>
      </c>
      <c r="CI12" s="228">
        <f ca="1">AVERAGEIFS($AC:$AC,$BW:$BW,BW12,$BX:$BX,BX12)</f>
        <v>15.3</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191.33333333333334</v>
      </c>
      <c r="CR12" s="228">
        <f ca="1">AVERAGEIFS($AF:$AF,$BW:$BW,BW12,$BX:$BX,BX12)</f>
        <v>191.33333333333334</v>
      </c>
      <c r="CS12" s="1191">
        <v>1.3</v>
      </c>
      <c r="CT12" s="1191">
        <v>1.5</v>
      </c>
      <c r="CU12" s="1191">
        <f ca="1">AVERAGEIF($BW:$BW,$BW12,$AH:$AH)</f>
        <v>41.571428571428569</v>
      </c>
      <c r="CV12" s="228">
        <f ca="1">AVERAGEIFS($AH:$AH,$BW:$BW,$BW12,$BX:$BX,$BX12)</f>
        <v>41.571428571428569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178.2</v>
      </c>
      <c r="DH12" s="1218">
        <f ca="1">AVERAGEIFS($AM:$AM,$BW:$BW,$BW12,$BX:$BX,$BX12)</f>
        <v>178.2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6.3918033852294336</v>
      </c>
      <c r="ER12" s="1218">
        <f ca="1">AVERAGEIFS($BH:$BH,$BW:$BW,$BW12,$BX:$BX,$BX12)</f>
        <v>6.3918033852294336</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0</v>
      </c>
      <c r="G13" s="895">
        <f t="shared" si="1"/>
        <v>0</v>
      </c>
      <c r="H13" s="896">
        <f t="shared" si="1"/>
        <v>0</v>
      </c>
      <c r="I13" s="895">
        <f t="shared" si="1"/>
        <v>0</v>
      </c>
      <c r="J13" s="864">
        <f t="shared" si="1"/>
        <v>0</v>
      </c>
      <c r="K13" s="864">
        <f t="shared" si="1"/>
        <v>0</v>
      </c>
      <c r="L13" s="896">
        <f t="shared" si="1"/>
        <v>0</v>
      </c>
      <c r="M13" s="896">
        <f t="shared" si="1"/>
        <v>0</v>
      </c>
      <c r="N13" s="896">
        <f t="shared" si="1"/>
        <v>50</v>
      </c>
      <c r="O13" s="897">
        <f t="shared" si="1"/>
        <v>0</v>
      </c>
      <c r="P13" s="897">
        <f t="shared" si="1"/>
        <v>0</v>
      </c>
      <c r="Q13" s="896">
        <f t="shared" si="1"/>
        <v>59</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46</v>
      </c>
      <c r="AD13" s="896">
        <f t="shared" si="2"/>
        <v>0</v>
      </c>
      <c r="AE13" s="896">
        <f t="shared" si="2"/>
        <v>0</v>
      </c>
      <c r="AF13" s="896">
        <f t="shared" si="2"/>
        <v>0</v>
      </c>
      <c r="AG13" s="896">
        <f t="shared" si="2"/>
        <v>0</v>
      </c>
      <c r="AH13" s="896">
        <f t="shared" si="2"/>
        <v>97</v>
      </c>
      <c r="AI13" s="896">
        <f t="shared" si="2"/>
        <v>0</v>
      </c>
      <c r="AJ13" s="896">
        <f t="shared" si="2"/>
        <v>0</v>
      </c>
      <c r="AK13" s="896">
        <f t="shared" si="2"/>
        <v>0</v>
      </c>
      <c r="AL13" s="896">
        <f t="shared" si="2"/>
        <v>0</v>
      </c>
      <c r="AM13" s="896">
        <f t="shared" si="2"/>
        <v>573</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33</v>
      </c>
      <c r="BD13" s="896">
        <f t="shared" si="2"/>
        <v>23</v>
      </c>
      <c r="BE13" s="896">
        <f t="shared" si="2"/>
        <v>0</v>
      </c>
      <c r="BF13" s="896">
        <f t="shared" si="2"/>
        <v>0</v>
      </c>
      <c r="BG13" s="896">
        <f>IF(ISNUMBER(Datos!K13/Datos!J13),Datos!K13/Datos!J13," - ")</f>
        <v>0.95871559633027525</v>
      </c>
      <c r="BH13" s="900">
        <f>IF(ISNUMBER(((Datos!L13/Datos!K13)*11)/factor_trimestre),((Datos!L13/Datos!K13)*11)/factor_trimestre," - ")</f>
        <v>12.473684210526317</v>
      </c>
      <c r="BI13" s="896">
        <f>IF(ISNUMBER('Resol  Asuntos'!D13/NºAsuntos!G13),'Resol  Asuntos'!D13/NºAsuntos!G13," - ")</f>
        <v>0.14163090128755365</v>
      </c>
      <c r="BJ13" s="896" t="str">
        <f>IF(ISNUMBER(Datos!CI13/Datos!CJ13),Datos!CI13/Datos!CJ13," - ")</f>
        <v xml:space="preserve"> - </v>
      </c>
      <c r="BK13" s="896">
        <f>SUBTOTAL(9,BK8:BK12)</f>
        <v>0</v>
      </c>
      <c r="BL13" s="896" t="str">
        <f>IF(ISNUMBER((I13-AB13+L13)/(F13)),(I13-AB13+L13)/(F13)," - ")</f>
        <v xml:space="preserve"> - </v>
      </c>
      <c r="BM13" s="901">
        <f>SUBTOTAL(9,BM9:BM12)</f>
        <v>2.3214285714285715E-2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63.444014435684139</v>
      </c>
      <c r="CF15" s="228">
        <f ca="1">AVERAGEIFS($AB:$AB,$BW:$BW,BW15,$BX:$BX,BX15)</f>
        <v>63.444014435684139</v>
      </c>
      <c r="CG15" s="1191">
        <v>0.7</v>
      </c>
      <c r="CH15" s="1191">
        <f ca="1">AVERAGEIF($BW:$BW,BW15,$AC:$AC)</f>
        <v>15.3</v>
      </c>
      <c r="CI15" s="228">
        <f ca="1">AVERAGEIFS($AC:$AC,$BW:$BW,BW15,$BX:$BX,BX15)</f>
        <v>15.3</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191.33333333333334</v>
      </c>
      <c r="CR15" s="228">
        <f ca="1">AVERAGEIFS($AF:$AF,$BW:$BW,BW15,$BX:$BX,BX15)</f>
        <v>191.33333333333334</v>
      </c>
      <c r="CS15" s="1191">
        <v>1.3</v>
      </c>
      <c r="CT15" s="1191">
        <v>1.5</v>
      </c>
      <c r="CU15" s="1191">
        <f ca="1">AVERAGEIF($BW:$BW,$BW15,$AH:$AH)</f>
        <v>41.571428571428569</v>
      </c>
      <c r="CV15" s="228">
        <f ca="1">AVERAGEIFS($AH:$AH,$BW:$BW,$BW15,$BX:$BX,$BX15)</f>
        <v>41.571428571428569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178.2</v>
      </c>
      <c r="DH15" s="1218">
        <f ca="1">AVERAGEIFS($AM:$AM,$BW:$BW,$BW15,$BX:$BX,$BX15)</f>
        <v>178.2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6.3918033852294336</v>
      </c>
      <c r="ER15" s="1218">
        <f ca="1">AVERAGEIFS($BH:$BH,$BW:$BW,$BW15,$BX:$BX,$BX15)</f>
        <v>6.3918033852294336</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63.444014435684139</v>
      </c>
      <c r="CF16" s="1218">
        <f ca="1">AVERAGEIFS($AB:$AB,$BW:$BW,BW16,$BX:$BX,BX16)</f>
        <v>63.444014435684139</v>
      </c>
      <c r="CG16" s="1191">
        <v>0.7</v>
      </c>
      <c r="CH16" s="1191">
        <f ca="1">AVERAGEIF($BW:$BW,BW16,$AC:$AC)</f>
        <v>15.3</v>
      </c>
      <c r="CI16" s="1218">
        <f ca="1">AVERAGEIFS($AC:$AC,$BW:$BW,BW16,$BX:$BX,BX16)</f>
        <v>15.3</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191.33333333333334</v>
      </c>
      <c r="CR16" s="1218">
        <f ca="1">AVERAGEIFS($AF:$AF,$BW:$BW,BW16,$BX:$BX,BX16)</f>
        <v>191.33333333333334</v>
      </c>
      <c r="CS16" s="1191">
        <v>1.3</v>
      </c>
      <c r="CT16" s="1191">
        <v>1.5</v>
      </c>
      <c r="CU16" s="1191">
        <f ca="1">AVERAGEIF($BW:$BW,$BW16,$AH:$AH)</f>
        <v>41.571428571428569</v>
      </c>
      <c r="CV16" s="1218">
        <f ca="1">AVERAGEIFS($AH:$AH,$BW:$BW,$BW16,$BX:$BX,$BX16)</f>
        <v>41.571428571428569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178.2</v>
      </c>
      <c r="DH16" s="1218">
        <f ca="1">AVERAGEIFS($AM:$AM,$BW:$BW,$BW16,$BX:$BX,$BX16)</f>
        <v>178.2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6.3918033852294336</v>
      </c>
      <c r="ER16" s="1218">
        <f ca="1">AVERAGEIFS($BH:$BH,$BW:$BW,$BW16,$BX:$BX,$BX16)</f>
        <v>6.3918033852294336</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516</v>
      </c>
      <c r="G17" s="596">
        <f>IF(ISNUMBER(IF(D_I="SI",Datos!I17,Datos!I17+Datos!AC17)),IF(D_I="SI",Datos!I17,Datos!I17+Datos!AC17)," - ")</f>
        <v>515</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163</v>
      </c>
      <c r="AC17" s="224">
        <f>IF(ISNUMBER(Datos!Q17),Datos!Q17," - ")</f>
        <v>5</v>
      </c>
      <c r="AD17" s="224"/>
      <c r="AE17" s="224"/>
      <c r="AF17" s="224">
        <f>IF(ISNUMBER(IF(D_I="SI",Datos!L17,Datos!L17+Datos!AF17)),IF(D_I="SI",Datos!L17,Datos!L17+Datos!AF17)," - ")</f>
        <v>540</v>
      </c>
      <c r="AG17" s="333"/>
      <c r="AH17" s="224"/>
      <c r="AI17" s="224"/>
      <c r="AJ17" s="1214"/>
      <c r="AK17" s="333"/>
      <c r="AL17" s="478"/>
      <c r="AM17" s="1214">
        <f>IF(ISNUMBER(Datos!R17),Datos!R17," - ")</f>
        <v>21</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40</v>
      </c>
      <c r="BD17" s="228">
        <f>IF(ISNUMBER(Datos!N17),Datos!N17," - ")</f>
        <v>76</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0.87165775401069523</v>
      </c>
      <c r="BH17" s="1214">
        <f>IF(ISNUMBER(((IF(D_I="SI",Datos!L17/Datos!K17,(Datos!L17+Datos!AF17)/(Datos!K17+Datos!AE17)))*11)/factor_trimestre),((IF(D_I="SI",Datos!L17/Datos!K17,(Datos!L17+Datos!AF17)/(Datos!K17+Datos!AE17)))*11)/factor_trimestre," - ")</f>
        <v>9.9386503067484675</v>
      </c>
      <c r="BI17" s="242">
        <f>IF(ISNUMBER('Resol  Asuntos'!D17/NºAsuntos!G17),'Resol  Asuntos'!D17/NºAsuntos!G17," - ")</f>
        <v>0.24539877300613497</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63.444014435684139</v>
      </c>
      <c r="CF17" s="228">
        <f ca="1">AVERAGEIFS($AB:$AB,$BW:$BW,BW17,$BX:$BX,BX17)</f>
        <v>63.444014435684139</v>
      </c>
      <c r="CG17" s="1191">
        <v>0.7</v>
      </c>
      <c r="CH17" s="1191">
        <f ca="1">AVERAGEIF($BW:$BW,BW17,$AC:$AC)</f>
        <v>15.3</v>
      </c>
      <c r="CI17" s="228">
        <f ca="1">AVERAGEIFS($AC:$AC,$BW:$BW,BW17,$BX:$BX,BX17)</f>
        <v>15.3</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191.33333333333334</v>
      </c>
      <c r="CR17" s="228">
        <f ca="1">AVERAGEIFS($AF:$AF,$BW:$BW,BW17,$BX:$BX,BX17)</f>
        <v>191.33333333333334</v>
      </c>
      <c r="CS17" s="1191">
        <v>1.3</v>
      </c>
      <c r="CT17" s="1191">
        <v>1.5</v>
      </c>
      <c r="CU17" s="1191">
        <f ca="1">AVERAGEIF($BW:$BW,$BW17,$AH:$AH)</f>
        <v>41.571428571428569</v>
      </c>
      <c r="CV17" s="228">
        <f ca="1">AVERAGEIFS($AH:$AH,$BW:$BW,$BW17,$BX:$BX,$BX17)</f>
        <v>41.571428571428569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178.2</v>
      </c>
      <c r="DH17" s="1218">
        <f ca="1">AVERAGEIFS($AM:$AM,$BW:$BW,$BW17,$BX:$BX,$BX17)</f>
        <v>178.2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6.3918033852294336</v>
      </c>
      <c r="ER17" s="1218">
        <f ca="1">AVERAGEIFS($BH:$BH,$BW:$BW,$BW17,$BX:$BX,$BX17)</f>
        <v>6.3918033852294336</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32</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18</v>
      </c>
      <c r="AC18" s="224">
        <f>IF(ISNUMBER(Datos!Q18),Datos!Q18," - ")</f>
        <v>0</v>
      </c>
      <c r="AD18" s="224"/>
      <c r="AE18" s="224"/>
      <c r="AF18" s="224">
        <f>IF(ISNUMBER(Datos!L18),Datos!L18,"-")</f>
        <v>34</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14</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0.94736842105263153</v>
      </c>
      <c r="BH18" s="1214">
        <f>IF(ISNUMBER(((IF(D_I="SI",Datos!L18/Datos!K18,(Datos!L18+Datos!AF18)/(Datos!K18+Datos!AE18)))*11)/factor_trimestre),((IF(D_I="SI",Datos!L18/Datos!K18,(Datos!L18+Datos!AF18)/(Datos!K18+Datos!AE18)))*11)/factor_trimestre," - ")</f>
        <v>5.666666666666667</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63.444014435684139</v>
      </c>
      <c r="CF18" s="228">
        <f ca="1">AVERAGEIFS($AB:$AB,$BW:$BW,BW18,$BX:$BX,BX18)</f>
        <v>63.444014435684139</v>
      </c>
      <c r="CG18" s="1191">
        <v>0.7</v>
      </c>
      <c r="CH18" s="1191">
        <f ca="1">AVERAGEIF($BW:$BW,BW18,$AC:$AC)</f>
        <v>15.3</v>
      </c>
      <c r="CI18" s="228">
        <f ca="1">AVERAGEIFS($AC:$AC,$BW:$BW,BW18,$BX:$BX,BX18)</f>
        <v>15.3</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191.33333333333334</v>
      </c>
      <c r="CR18" s="228">
        <f ca="1">AVERAGEIFS($AF:$AF,$BW:$BW,BW18,$BX:$BX,BX18)</f>
        <v>191.33333333333334</v>
      </c>
      <c r="CS18" s="1191">
        <v>1.3</v>
      </c>
      <c r="CT18" s="1191">
        <v>1.5</v>
      </c>
      <c r="CU18" s="1191">
        <f ca="1">AVERAGEIF($BW:$BW,$BW18,$AH:$AH)</f>
        <v>41.571428571428569</v>
      </c>
      <c r="CV18" s="228">
        <f ca="1">AVERAGEIFS($AH:$AH,$BW:$BW,$BW18,$BX:$BX,$BX18)</f>
        <v>41.571428571428569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178.2</v>
      </c>
      <c r="DH18" s="1218">
        <f ca="1">AVERAGEIFS($AM:$AM,$BW:$BW,$BW18,$BX:$BX,$BX18)</f>
        <v>178.2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6.3918033852294336</v>
      </c>
      <c r="ER18" s="1218">
        <f ca="1">AVERAGEIFS($BH:$BH,$BW:$BW,$BW18,$BX:$BX,$BX18)</f>
        <v>6.3918033852294336</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516</v>
      </c>
      <c r="G19" s="895">
        <f>SUBTOTAL(9,G15:G18)</f>
        <v>547</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181</v>
      </c>
      <c r="AC19" s="896">
        <f t="shared" si="5"/>
        <v>5</v>
      </c>
      <c r="AD19" s="896">
        <f t="shared" si="5"/>
        <v>0</v>
      </c>
      <c r="AE19" s="896">
        <f t="shared" si="5"/>
        <v>0</v>
      </c>
      <c r="AF19" s="896">
        <f t="shared" si="5"/>
        <v>574</v>
      </c>
      <c r="AG19" s="896">
        <f t="shared" si="5"/>
        <v>0</v>
      </c>
      <c r="AH19" s="896">
        <f t="shared" si="5"/>
        <v>0</v>
      </c>
      <c r="AI19" s="896">
        <f t="shared" si="5"/>
        <v>0</v>
      </c>
      <c r="AJ19" s="896">
        <f t="shared" si="5"/>
        <v>0</v>
      </c>
      <c r="AK19" s="896">
        <f t="shared" si="5"/>
        <v>0</v>
      </c>
      <c r="AL19" s="896">
        <f t="shared" si="5"/>
        <v>0</v>
      </c>
      <c r="AM19" s="896">
        <f t="shared" si="5"/>
        <v>21</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40</v>
      </c>
      <c r="BD19" s="896">
        <f t="shared" si="5"/>
        <v>90</v>
      </c>
      <c r="BE19" s="896">
        <f t="shared" si="5"/>
        <v>0</v>
      </c>
      <c r="BF19" s="896">
        <f t="shared" si="5"/>
        <v>0</v>
      </c>
      <c r="BG19" s="896">
        <f>IF(ISNUMBER(Datos!K19/Datos!J19),Datos!K19/Datos!J19," - ")</f>
        <v>0.87864077669902918</v>
      </c>
      <c r="BH19" s="900">
        <f>IF(ISNUMBER(((Datos!L19/Datos!K19)*11)/factor_trimestre),((Datos!L19/Datos!K19)*11)/factor_trimestre," - ")</f>
        <v>9.5138121546961329</v>
      </c>
      <c r="BI19" s="896">
        <f>SUBTOTAL(9,BI15:BI18)</f>
        <v>0.24539877300613497</v>
      </c>
      <c r="BJ19" s="896">
        <f>SUBTOTAL(9,BJ15:BJ18)</f>
        <v>0</v>
      </c>
      <c r="BK19" s="896">
        <f>SUBTOTAL(9,BK15:BK18)</f>
        <v>0</v>
      </c>
      <c r="BL19" s="896">
        <f>IF(ISNUMBER((I19-AB19+L19)/(F19)),(I19-AB19+L19)/(F19)," - ")</f>
        <v>-0.35077519379844962</v>
      </c>
      <c r="BM19" s="902">
        <f>IF(ISNUMBER((Datos!P19-Datos!Q19)/(Datos!R19-Datos!P19+Datos!Q19)),(Datos!P19-Datos!Q19)/(Datos!R19-Datos!P19+Datos!Q19)," - ")</f>
        <v>-0.19230769230769232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516</v>
      </c>
      <c r="G20" s="817">
        <f t="shared" si="7"/>
        <v>547</v>
      </c>
      <c r="H20" s="819">
        <f t="shared" si="7"/>
        <v>0</v>
      </c>
      <c r="I20" s="817">
        <f t="shared" si="7"/>
        <v>0</v>
      </c>
      <c r="J20" s="819">
        <f t="shared" si="7"/>
        <v>0</v>
      </c>
      <c r="K20" s="819">
        <f t="shared" si="7"/>
        <v>0</v>
      </c>
      <c r="L20" s="878">
        <f t="shared" si="7"/>
        <v>0</v>
      </c>
      <c r="M20" s="878">
        <f t="shared" si="7"/>
        <v>0</v>
      </c>
      <c r="N20" s="878">
        <f t="shared" si="7"/>
        <v>50</v>
      </c>
      <c r="O20" s="878">
        <f t="shared" si="7"/>
        <v>0</v>
      </c>
      <c r="P20" s="878">
        <f t="shared" si="7"/>
        <v>0</v>
      </c>
      <c r="Q20" s="819">
        <f t="shared" si="7"/>
        <v>59</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181</v>
      </c>
      <c r="AC20" s="818">
        <f t="shared" si="8"/>
        <v>51</v>
      </c>
      <c r="AD20" s="818">
        <f t="shared" si="8"/>
        <v>0</v>
      </c>
      <c r="AE20" s="818">
        <f t="shared" si="8"/>
        <v>0</v>
      </c>
      <c r="AF20" s="825">
        <f t="shared" si="8"/>
        <v>574</v>
      </c>
      <c r="AG20" s="825">
        <f t="shared" si="8"/>
        <v>0</v>
      </c>
      <c r="AH20" s="825">
        <f t="shared" si="8"/>
        <v>97</v>
      </c>
      <c r="AI20" s="825">
        <f t="shared" si="8"/>
        <v>0</v>
      </c>
      <c r="AJ20" s="818">
        <f t="shared" si="8"/>
        <v>0</v>
      </c>
      <c r="AK20" s="825">
        <f t="shared" si="8"/>
        <v>0</v>
      </c>
      <c r="AL20" s="825">
        <f t="shared" si="8"/>
        <v>0</v>
      </c>
      <c r="AM20" s="825">
        <f t="shared" si="8"/>
        <v>594</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73</v>
      </c>
      <c r="BD20" s="817">
        <f t="shared" si="8"/>
        <v>113</v>
      </c>
      <c r="BE20" s="817">
        <f t="shared" si="8"/>
        <v>0</v>
      </c>
      <c r="BF20" s="827">
        <f t="shared" si="8"/>
        <v>0</v>
      </c>
      <c r="BG20" s="912">
        <f>IF(ISNUMBER(Datos!K20/Datos!J20),Datos!K20/Datos!J20," - ")</f>
        <v>0.91981132075471694</v>
      </c>
      <c r="BH20" s="912">
        <f>IF(ISNUMBER(((Datos!L20/Datos!K20)*11)/factor_trimestre),((Datos!L20/Datos!K20)*11)/factor_trimestre," - ")</f>
        <v>11.100000000000001</v>
      </c>
      <c r="BI20" s="810">
        <f>IF(ISNUMBER(Datos!J20/Datos!I20),Datos!J20/Datos!I20," - ")</f>
        <v>0.30135039090262972</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-0.35077519379844962</v>
      </c>
      <c r="BM20" s="886">
        <f>IF(ISNUMBER((Datos!P20-Datos!Q20+R20)/(Datos!R20-Datos!P20+Datos!Q20-R20)),(Datos!P20-Datos!Q20+R20)/(Datos!R20-Datos!P20+Datos!Q20-R20)," - ")</f>
        <v>1.3651877133105802E-2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218.8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297.91273890184692</v>
      </c>
      <c r="G22" s="551">
        <f>IF(ISNUMBER(STDEV(G8:G19)),STDEV(G8:G19),"-")</f>
        <v>285.52180302036481</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91.440144356841429</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19.106717841289925</v>
      </c>
      <c r="BD22" s="550"/>
      <c r="BE22" s="550">
        <f>IF(ISNUMBER(STDEV(BE8:BE19)),STDEV(BE8:BE19),"-")</f>
        <v>0</v>
      </c>
      <c r="BF22" s="555">
        <f>IF(ISNUMBER(STDEV(BF8:BF19)),STDEV(BF8:BF19),"-")</f>
        <v>0</v>
      </c>
      <c r="BG22" s="772">
        <f>IF(ISNUMBER(STDEV(BG8:BG19)),STDEV(BG8:BG19),"-")</f>
        <v>4.4028361516691053E-2</v>
      </c>
      <c r="BH22" s="773">
        <f>IF(ISNUMBER(STDEV(BH8:BH19)),STDEV(BH8:BH19),"-")</f>
        <v>2.7874522733134084</v>
      </c>
      <c r="BI22" s="248">
        <f>IF(ISNUMBER(STDEV(BI8:BI19)),STDEV(BI8:BI19),"-")</f>
        <v>0.11620239892366169</v>
      </c>
      <c r="BJ22" s="1415" t="str">
        <f>IF(ISNUMBER(BL22/BM22),BL22/BM22," - ")</f>
        <v xml:space="preserve"> - </v>
      </c>
      <c r="BK22" s="574"/>
      <c r="BL22" s="558" t="str">
        <f>IF(ISNUMBER(STDEV(BL8:BL19)),STDEV(BL8:BL19),"-")</f>
        <v>-</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REVvQ1UMWHKaWUoeb/85/Ce1GHrLgqK4ShPUJ0Tiskrjlm1oc2v+oOW3zT/z7b+1R71rqajNH7PZjEf2PAiefQ==" saltValue="w2KwHvHLUOT7CuTzxZ5WW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 Y LEON</v>
      </c>
    </row>
    <row r="2" spans="1:146" ht="16.5" customHeight="1">
      <c r="C2" s="487" t="str">
        <f>Criterios!A10 &amp;"  "&amp;Criterios!B10 &amp; "  " &amp; IF(NOT(ISBLANK(Criterios!A11)),Criterios!A11 &amp;"  "&amp;Criterios!B11,"")</f>
        <v>Provincias  SEGOVIA  Resumenes por Partidos Judiciales  CUELLAR</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0.14163090128755365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0.10014817072599172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dySLHJEZGiUeM/vShG/oL4jAtve10bm/gF+Fy4Ug0G42gZ/SgLISpQ8DMpcdMkGdT8QjGveVeabrvMsfLHkk0g==" saltValue="7E67T1pnKzNRT9uIB0tNJ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 Y LEON</v>
      </c>
      <c r="B4" s="1461" t="str">
        <f>IF(Criterios!B10=0,"",Criterios!B10)</f>
        <v>SEGOVIA</v>
      </c>
      <c r="C4" s="1461" t="str">
        <f>IF(Criterios!B11=0,"",Criterios!B11)</f>
        <v>CUELLAR</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VQG6TJpVyrwZiZSnLdSChsH/vWYwr4Uno1NSbt8C/C+Wjct4TMpCV1BBoVNp8xxwzwy/bSf5gCPVrJaq2MKT+w==" saltValue="/qJLiXY8cfZz7Ou9mVnp5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 Y LEON</v>
      </c>
      <c r="C2" s="374"/>
      <c r="E2" s="374"/>
      <c r="F2" s="374"/>
      <c r="G2" s="374"/>
      <c r="H2" s="374"/>
    </row>
    <row r="3" spans="1:16" ht="39">
      <c r="A3" s="414" t="s">
        <v>219</v>
      </c>
      <c r="B3" s="390" t="str">
        <f>Criterios!A10 &amp;"  "&amp;Criterios!B10</f>
        <v>Provincias  SEGOVIA</v>
      </c>
      <c r="C3" s="414"/>
      <c r="F3" s="374"/>
      <c r="G3" s="374"/>
      <c r="H3" s="374"/>
    </row>
    <row r="4" spans="1:16" ht="13.5" thickBot="1">
      <c r="A4" s="374"/>
      <c r="B4" s="390" t="str">
        <f>Criterios!A11 &amp;"  "&amp;Criterios!B11</f>
        <v>Resumenes por Partidos Judiciales  CUELLAR</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w6OPNkaSaD4BrCbGwK7+PRCK3jG5Ir7V4Vn9EjcC87VYX2QPnssFrLASPsmdA6zOyFkn8wO173H/Z3OeCqVHvA==" saltValue="j4DnnRXgVEXq4PCy7o4ho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SEGOVIA</v>
      </c>
      <c r="C3" s="390"/>
      <c r="D3" s="424"/>
      <c r="BZ3" s="470"/>
    </row>
    <row r="4" spans="1:78" ht="13.5" thickBot="1">
      <c r="B4" s="390" t="str">
        <f>Criterios!A11 &amp;"  "&amp;Criterios!B11</f>
        <v>Resumenes por Partidos Judiciales  CUELLAR</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33</v>
      </c>
      <c r="E12" s="403">
        <f t="shared" si="0"/>
        <v>33</v>
      </c>
      <c r="F12" s="402">
        <f>IF(ISNUMBER(Datos!N12),Datos!N12," - ")</f>
        <v>23</v>
      </c>
      <c r="G12" s="403">
        <f t="shared" si="1"/>
        <v>23</v>
      </c>
      <c r="H12" s="402">
        <f>IF(ISNUMBER(Datos!O12),Datos!O12," - ")</f>
        <v>93</v>
      </c>
      <c r="I12" s="403">
        <f t="shared" si="2"/>
        <v>93</v>
      </c>
      <c r="BZ12" s="1181">
        <f>Datos!EZ12</f>
        <v>0</v>
      </c>
    </row>
    <row r="13" spans="1:78" ht="14.25" thickTop="1" thickBot="1">
      <c r="A13" s="845" t="str">
        <f>Datos!A13</f>
        <v>TOTAL</v>
      </c>
      <c r="B13" s="846">
        <f>Datos!AP13</f>
        <v>1</v>
      </c>
      <c r="C13" s="848">
        <f>Datos!AR13</f>
        <v>1</v>
      </c>
      <c r="D13" s="846">
        <f>SUBTOTAL(9,D9:D12)</f>
        <v>33</v>
      </c>
      <c r="E13" s="847">
        <f t="shared" si="0"/>
        <v>33</v>
      </c>
      <c r="F13" s="846">
        <f>SUBTOTAL(9,F9:F12)</f>
        <v>23</v>
      </c>
      <c r="G13" s="847">
        <f t="shared" si="1"/>
        <v>23</v>
      </c>
      <c r="H13" s="846">
        <f>SUBTOTAL(9,H9:H12)</f>
        <v>93</v>
      </c>
      <c r="I13" s="847">
        <f>IF(ISNUMBER(H13/B13),H13/B13," - ")</f>
        <v>93</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40</v>
      </c>
      <c r="E17" s="403">
        <f t="shared" si="3"/>
        <v>40</v>
      </c>
      <c r="F17" s="402">
        <f>IF(ISNUMBER(Datos!N17),Datos!N17," - ")</f>
        <v>76</v>
      </c>
      <c r="G17" s="403">
        <f t="shared" si="4"/>
        <v>76</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14</v>
      </c>
      <c r="G18" s="403">
        <f>IF(ISNUMBER(F18/B18),F18/B18," - ")</f>
        <v>14</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40</v>
      </c>
      <c r="E19" s="847">
        <f t="shared" si="3"/>
        <v>40</v>
      </c>
      <c r="F19" s="846">
        <f>SUBTOTAL(9,F15:F18)</f>
        <v>90</v>
      </c>
      <c r="G19" s="847">
        <f t="shared" si="4"/>
        <v>90</v>
      </c>
      <c r="H19" s="846">
        <f>SUBTOTAL(9,H15:H18)</f>
        <v>0</v>
      </c>
      <c r="I19" s="847">
        <f>IF(ISNUMBER(H19/B19),H19/B19," - ")</f>
        <v>0</v>
      </c>
      <c r="BZ19" s="1181"/>
    </row>
    <row r="20" spans="1:78" ht="14.25" thickTop="1" thickBot="1">
      <c r="A20" s="790" t="str">
        <f>Datos!A20</f>
        <v>TOTAL JURISDICCIONES</v>
      </c>
      <c r="B20" s="791">
        <f>Datos!AP20</f>
        <v>1</v>
      </c>
      <c r="C20" s="791">
        <f>Datos!AR20</f>
        <v>1</v>
      </c>
      <c r="D20" s="791">
        <f>SUBTOTAL(9,D8:D19)</f>
        <v>73</v>
      </c>
      <c r="E20" s="792">
        <f>IF(ISNUMBER(D20/B20),D20/B20," - ")</f>
        <v>73</v>
      </c>
      <c r="F20" s="791">
        <f>SUBTOTAL(9,F8:F19)</f>
        <v>113</v>
      </c>
      <c r="G20" s="792">
        <f>IF(ISNUMBER(F20/B20),F20/B20," - ")</f>
        <v>113</v>
      </c>
      <c r="H20" s="791">
        <f>SUBTOTAL(9,H8:H19)</f>
        <v>93</v>
      </c>
      <c r="I20" s="792">
        <f>IF(ISNUMBER(H20/B20),H20/B20," - ")</f>
        <v>93</v>
      </c>
    </row>
    <row r="23" spans="1:78">
      <c r="A23" s="390" t="str">
        <f>Criterios!A4</f>
        <v>Fecha Informe: 18 jun. 2026</v>
      </c>
    </row>
    <row r="28" spans="1:78">
      <c r="A28" s="413"/>
    </row>
  </sheetData>
  <sheetProtection algorithmName="SHA-512" hashValue="Tl6hzdI7EDB+nevNmEAsVHnwzFMlWgDko5ZrqPTFH0oM1z5iB5EoQ30cWt+vKyXdj1o+0vIRrgokW3BkZjlAZg==" saltValue="6KoL193ugzRhKEHDfiV3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SEGOVIA</v>
      </c>
    </row>
    <row r="4" spans="1:4" ht="13.5" thickBot="1">
      <c r="B4" s="390" t="str">
        <f>Criterios!A11 &amp;"  "&amp;Criterios!B11</f>
        <v>Resumenes por Partidos Judiciales  CUELLAR</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59</v>
      </c>
      <c r="C12" s="433">
        <f>IF(ISNUMBER(Datos!Q12),Datos!Q12," - ")</f>
        <v>46</v>
      </c>
      <c r="D12" s="407">
        <f>IF(ISNUMBER(Datos!R12),Datos!R12," - ")</f>
        <v>573</v>
      </c>
    </row>
    <row r="13" spans="1:4" ht="14.25" thickTop="1" thickBot="1">
      <c r="A13" s="845" t="str">
        <f>Datos!A13</f>
        <v>TOTAL</v>
      </c>
      <c r="B13" s="846">
        <f>SUBTOTAL(9,B9:B12)</f>
        <v>59</v>
      </c>
      <c r="C13" s="850">
        <f>SUBTOTAL(9,C9:C12)</f>
        <v>46</v>
      </c>
      <c r="D13" s="848">
        <f>SUBTOTAL(9,D9:D12)</f>
        <v>573</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0</v>
      </c>
      <c r="C17" s="433">
        <f>IF(ISNUMBER(Datos!Q17),Datos!Q17," - ")</f>
        <v>5</v>
      </c>
      <c r="D17" s="407">
        <f>IF(ISNUMBER(Datos!R17),Datos!R17," - ")</f>
        <v>21</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0</v>
      </c>
      <c r="C19" s="850">
        <f>SUBTOTAL(9,C15:C18)</f>
        <v>5</v>
      </c>
      <c r="D19" s="848">
        <f>SUBTOTAL(9,D15:D18)</f>
        <v>21</v>
      </c>
    </row>
    <row r="20" spans="1:4" ht="16.5" customHeight="1" thickTop="1" thickBot="1">
      <c r="A20" s="790" t="str">
        <f>Datos!A20</f>
        <v>TOTAL JURISDICCIONES</v>
      </c>
      <c r="B20" s="795">
        <f>SUBTOTAL(9,B8:B19)</f>
        <v>59</v>
      </c>
      <c r="C20" s="796">
        <f>SUBTOTAL(9,C8:C19)</f>
        <v>51</v>
      </c>
      <c r="D20" s="797">
        <f>SUBTOTAL(9,D8:D19)</f>
        <v>594</v>
      </c>
    </row>
    <row r="21" spans="1:4" ht="7.5" customHeight="1"/>
    <row r="22" spans="1:4" ht="6" customHeight="1"/>
    <row r="23" spans="1:4">
      <c r="A23" s="390" t="str">
        <f>Criterios!A4</f>
        <v>Fecha Informe: 18 jun. 2026</v>
      </c>
    </row>
    <row r="28" spans="1:4">
      <c r="A28" s="413"/>
    </row>
  </sheetData>
  <sheetProtection algorithmName="SHA-512" hashValue="iAaOM/acFx9wDoLVNHQ8hcyLXwv7z4sAFzRBrAsNKmKXELIEqVvxj/1POakk/4crSrI49DOWv0W9hFO3xQ6LdQ==" saltValue="MUEfcxNqc2xzFfRhuaOmj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SEGOVIA</v>
      </c>
    </row>
    <row r="4" spans="1:11" ht="10.5" customHeight="1" thickBot="1">
      <c r="B4" s="390" t="str">
        <f>Criterios!A11 &amp;"  "&amp;Criterios!B11</f>
        <v>Resumenes por Partidos Judiciales  CUELLAR</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-1</v>
      </c>
      <c r="C10" s="455" t="str">
        <f>IF(ISNUMBER((Datos!J10-Datos!T10)/Datos!T10),(Datos!J10-Datos!T10)/Datos!T10," - ")</f>
        <v xml:space="preserve"> - </v>
      </c>
      <c r="D10" s="455">
        <f>IF(ISNUMBER((Datos!K10-Datos!U10)/Datos!U10),(Datos!K10-Datos!U10)/Datos!U10," - ")</f>
        <v>-1</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-4.0206185567010312E-2</v>
      </c>
      <c r="C12" s="455">
        <f>IF(ISNUMBER(
   IF(J_V="SI",(Datos!J12-Datos!T12)/Datos!T12,(Datos!J12+Datos!Z12-(Datos!T12+Datos!AH12))/(Datos!T12+Datos!AH12))
     ),IF(J_V="SI",(Datos!J12-Datos!T12)/Datos!T12,(Datos!J12+Datos!Z12-(Datos!T12+Datos!AH12))/(Datos!T12+Datos!AH12))," - ")</f>
        <v>-0.17538461538461539</v>
      </c>
      <c r="D12" s="455">
        <f>IF(ISNUMBER(
   IF(J_V="SI",(Datos!K12-Datos!U12)/Datos!U12,(Datos!K12+Datos!AA12-(Datos!U12+Datos!AI12))/(Datos!U12+Datos!AI12))
     ),IF(J_V="SI",(Datos!K12-Datos!U12)/Datos!U12,(Datos!K12+Datos!AA12-(Datos!U12+Datos!AI12))/(Datos!U12+Datos!AI12))," - ")</f>
        <v>-9.3385214007782102E-2</v>
      </c>
      <c r="E12" s="455">
        <f>IF(ISNUMBER(
   IF(J_V="SI",(Datos!L12-Datos!V12)/Datos!V12,(Datos!L12+Datos!AB12-(Datos!V12+Datos!AJ12))/(Datos!V12+Datos!AJ12))
     ),IF(J_V="SI",(Datos!L12-Datos!V12)/Datos!V12,(Datos!L12+Datos!AB12-(Datos!V12+Datos!AJ12))/(Datos!V12+Datos!AJ12))," - ")</f>
        <v>-6.9364161849710976E-2</v>
      </c>
      <c r="F12" s="455">
        <f>IF(ISNUMBER((Datos!M12-Datos!W12)/Datos!W12),(Datos!M12-Datos!W12)/Datos!W12," - ")</f>
        <v>-0.59756097560975607</v>
      </c>
      <c r="G12" s="456">
        <f>IF(ISNUMBER((Datos!N12-Datos!X12)/Datos!X12),(Datos!N12-Datos!X12)/Datos!X12," - ")</f>
        <v>0.76923076923076927</v>
      </c>
      <c r="H12" s="454">
        <f>IF(ISNUMBER(((NºAsuntos!G12/NºAsuntos!E12)-Datos!BD12)/Datos!BD12),((NºAsuntos!G12/NºAsuntos!E12)-Datos!BD12)/Datos!BD12," - ")</f>
        <v>9.9439572565189621E-2</v>
      </c>
      <c r="I12" s="455">
        <f>IF(ISNUMBER(((NºAsuntos!I12/NºAsuntos!G12)-Datos!BE12)/Datos!BE12),((NºAsuntos!I12/NºAsuntos!G12)-Datos!BE12)/Datos!BE12," - ")</f>
        <v>2.6495323624996896E-2</v>
      </c>
      <c r="J12" s="460">
        <f>IF(ISNUMBER((('Resol  Asuntos'!D12/NºAsuntos!G12)-Datos!BF12)/Datos!BF12),(('Resol  Asuntos'!D12/NºAsuntos!G12)-Datos!BF12)/Datos!BF12," - ")</f>
        <v>1.7999339716077913</v>
      </c>
      <c r="K12" s="461">
        <f>IF(ISNUMBER((((NºAsuntos!C12+NºAsuntos!E12)/NºAsuntos!G12)-Datos!BG12)/Datos!BG12),(((NºAsuntos!C12+NºAsuntos!E12)/NºAsuntos!G12)-Datos!BG12)/Datos!BG12," - ")</f>
        <v>2.123717831872338E-2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-4.2181069958847739E-2</v>
      </c>
      <c r="C13" s="852">
        <f>IF(ISNUMBER(
   IF(J_V="SI",(Datos!J13-Datos!T13)/Datos!T13,(Datos!J13+Datos!Z13-(Datos!T13+Datos!AH13))/(Datos!T13+Datos!AH13))
     ),IF(J_V="SI",(Datos!J13-Datos!T13)/Datos!T13,(Datos!J13+Datos!Z13-(Datos!T13+Datos!AH13))/(Datos!T13+Datos!AH13))," - ")</f>
        <v>-0.17538461538461539</v>
      </c>
      <c r="D13" s="852">
        <f>IF(ISNUMBER(
   IF(J_V="SI",(Datos!K13-Datos!U13)/Datos!U13,(Datos!K13+Datos!AA13-(Datos!U13+Datos!AI13))/(Datos!U13+Datos!AI13))
     ),IF(J_V="SI",(Datos!K13-Datos!U13)/Datos!U13,(Datos!K13+Datos!AA13-(Datos!U13+Datos!AI13))/(Datos!U13+Datos!AI13))," - ")</f>
        <v>-0.10038610038610038</v>
      </c>
      <c r="E13" s="852">
        <f>IF(ISNUMBER(
   IF(J_V="SI",(Datos!L13-Datos!V13)/Datos!V13,(Datos!L13+Datos!AB13-(Datos!V13+Datos!AJ13))/(Datos!V13+Datos!AJ13))
     ),IF(J_V="SI",(Datos!L13-Datos!V13)/Datos!V13,(Datos!L13+Datos!AB13-(Datos!V13+Datos!AJ13))/(Datos!V13+Datos!AJ13))," - ")</f>
        <v>-6.9364161849710976E-2</v>
      </c>
      <c r="F13" s="853">
        <f>IF(ISNUMBER((Datos!M13-Datos!W13)/Datos!W13),(Datos!M13-Datos!W13)/Datos!W13," - ")</f>
        <v>-0.59756097560975607</v>
      </c>
      <c r="G13" s="854">
        <f>IF(ISNUMBER((Datos!N13-Datos!X13)/Datos!X13),(Datos!N13-Datos!X13)/Datos!X13," - ")</f>
        <v>0.76923076923076927</v>
      </c>
      <c r="H13" s="854">
        <f>IF(ISNUMBER(((NºAsuntos!G13/NºAsuntos!E13)-Datos!BD13)/Datos!BD13),((NºAsuntos!G13/NºAsuntos!E13)-Datos!BD13)/Datos!BD13," - ")</f>
        <v>9.0949691695960316E-2</v>
      </c>
      <c r="I13" s="854">
        <f>IF(ISNUMBER(((NºAsuntos!I13/NºAsuntos!G13)-Datos!BE13)/Datos!BE13),((NºAsuntos!I13/NºAsuntos!G13)-Datos!BE13)/Datos!BE13," - ")</f>
        <v>3.4483614081222407E-2</v>
      </c>
      <c r="J13" s="854">
        <f>IF(ISNUMBER((('Resol  Asuntos'!D13/NºAsuntos!G13)-Datos!BF13)/Datos!BF13),(('Resol  Asuntos'!D13/NºAsuntos!G13)-Datos!BF13)/Datos!BF13," - ")</f>
        <v>1.821723341036646</v>
      </c>
      <c r="K13" s="854">
        <f>IF(ISNUMBER((((NºAsuntos!C13+NºAsuntos!E13)/NºAsuntos!G13)-Datos!BG13)/Datos!BG13),(((NºAsuntos!C13+NºAsuntos!E13)/NºAsuntos!G13)-Datos!BG13)/Datos!BG13," - ")</f>
        <v>2.7597526149814075E-2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0.23205741626794257</v>
      </c>
      <c r="C17" s="455">
        <f>IF(ISNUMBER(
   IF(D_I="SI",(Datos!J17-Datos!T17)/Datos!T17,(Datos!J17+Datos!AD17-(Datos!T17+Datos!AL17))/(Datos!T17+Datos!AL17))
     ),IF(D_I="SI",(Datos!J17-Datos!T17)/Datos!T17,(Datos!J17+Datos!AD17-(Datos!T17+Datos!AL17))/(Datos!T17+Datos!AL17))," - ")</f>
        <v>2.7472527472527472E-2</v>
      </c>
      <c r="D17" s="455">
        <f>IF(ISNUMBER(
   IF(D_I="SI",(Datos!K17-Datos!U17)/Datos!U17,(Datos!K17+Datos!AE17-(Datos!U17+Datos!AM17))/(Datos!U17+Datos!AM17))
     ),IF(D_I="SI",(Datos!K17-Datos!U17)/Datos!U17,(Datos!K17+Datos!AE17-(Datos!U17+Datos!AM17))/(Datos!U17+Datos!AM17))," - ")</f>
        <v>-0.12365591397849462</v>
      </c>
      <c r="E17" s="455">
        <f>IF(ISNUMBER(
   IF(D_I="SI",(Datos!L17-Datos!V17)/Datos!V17,(Datos!L17+Datos!AF17-(Datos!V17+Datos!AN17))/(Datos!V17+Datos!AN17))
     ),IF(D_I="SI",(Datos!L17-Datos!V17)/Datos!V17,(Datos!L17+Datos!AF17-(Datos!V17+Datos!AN17))/(Datos!V17+Datos!AN17))," - ")</f>
        <v>0.29496402877697842</v>
      </c>
      <c r="F17" s="455">
        <f>IF(ISNUMBER((Datos!M17-Datos!W17)/Datos!W17),(Datos!M17-Datos!W17)/Datos!W17," - ")</f>
        <v>0.90476190476190477</v>
      </c>
      <c r="G17" s="456">
        <f>IF(ISNUMBER((Datos!N17-Datos!X17)/Datos!X17),(Datos!N17-Datos!X17)/Datos!X17," - ")</f>
        <v>-0.36134453781512604</v>
      </c>
      <c r="H17" s="454">
        <f>IF(ISNUMBER(((NºAsuntos!G17/NºAsuntos!E17)-Datos!BD17)/Datos!BD17),((NºAsuntos!G17/NºAsuntos!E17)-Datos!BD17)/Datos!BD17," - ")</f>
        <v>-0.14708757403254547</v>
      </c>
      <c r="I17" s="455">
        <f>IF(ISNUMBER(((NºAsuntos!I17/NºAsuntos!G17)-Datos!BE17)/Datos!BE17),((NºAsuntos!I17/NºAsuntos!G17)-Datos!BE17)/Datos!BE17," - ")</f>
        <v>0.47768901443262579</v>
      </c>
      <c r="J17" s="460">
        <f>IF(ISNUMBER((('Resol  Asuntos'!D17/NºAsuntos!G17)-Datos!BF17)/Datos!BF17),(('Resol  Asuntos'!D17/NºAsuntos!G17)-Datos!BF17)/Datos!BF17," - ")</f>
        <v>1.1735319894829099</v>
      </c>
      <c r="K17" s="461">
        <f>IF(ISNUMBER((((NºAsuntos!C17+NºAsuntos!E17)/NºAsuntos!G17)-Datos!BG17)/Datos!BG17),(((NºAsuntos!C17+NºAsuntos!E17)/NºAsuntos!G17)-Datos!BG17)/Datos!BG17," - ")</f>
        <v>0.33509202453987741</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-0.39622641509433965</v>
      </c>
      <c r="C18" s="455">
        <f>IF(ISNUMBER(
   IF(D_I="SI",(Datos!J18-Datos!T18)/Datos!T18,(Datos!J18+Datos!AD18-(Datos!T18+Datos!AL18))/(Datos!T18+Datos!AL18))
     ),IF(D_I="SI",(Datos!J18-Datos!T18)/Datos!T18,(Datos!J18+Datos!AD18-(Datos!T18+Datos!AL18))/(Datos!T18+Datos!AL18))," - ")</f>
        <v>0.58333333333333337</v>
      </c>
      <c r="D18" s="455">
        <f>IF(ISNUMBER(
   IF(D_I="SI",(Datos!K18-Datos!U18)/Datos!U18,(Datos!K18+Datos!AE18-(Datos!U18+Datos!AM18))/(Datos!U18+Datos!AM18))
     ),IF(D_I="SI",(Datos!K18-Datos!U18)/Datos!U18,(Datos!K18+Datos!AE18-(Datos!U18+Datos!AM18))/(Datos!U18+Datos!AM18))," - ")</f>
        <v>-0.5</v>
      </c>
      <c r="E18" s="455">
        <f>IF(ISNUMBER(
   IF(D_I="SI",(Datos!L18-Datos!V18)/Datos!V18,(Datos!L18+Datos!AF18-(Datos!V18+Datos!AN18))/(Datos!V18+Datos!AN18))
     ),IF(D_I="SI",(Datos!L18-Datos!V18)/Datos!V18,(Datos!L18+Datos!AF18-(Datos!V18+Datos!AN18))/(Datos!V18+Datos!AN18))," - ")</f>
        <v>0.17241379310344829</v>
      </c>
      <c r="F18" s="455">
        <f>IF(ISNUMBER((Datos!M18-Datos!W18)/Datos!W18),(Datos!M18-Datos!W18)/Datos!W18," - ")</f>
        <v>-1</v>
      </c>
      <c r="G18" s="456">
        <f>IF(ISNUMBER((Datos!N18-Datos!X18)/Datos!X18),(Datos!N18-Datos!X18)/Datos!X18," - ")</f>
        <v>-0.3</v>
      </c>
      <c r="H18" s="454">
        <f>IF(ISNUMBER(((NºAsuntos!G18/NºAsuntos!E18)-Datos!BD18)/Datos!BD18),((NºAsuntos!G18/NºAsuntos!E18)-Datos!BD18)/Datos!BD18," - ")</f>
        <v>-0.68421052631578949</v>
      </c>
      <c r="I18" s="455">
        <f>IF(ISNUMBER(((NºAsuntos!I18/NºAsuntos!G18)-Datos!BE18)/Datos!BE18),((NºAsuntos!I18/NºAsuntos!G18)-Datos!BE18)/Datos!BE18," - ")</f>
        <v>1.3448275862068964</v>
      </c>
      <c r="J18" s="460">
        <f>IF(ISNUMBER((('Resol  Asuntos'!D18/NºAsuntos!G18)-Datos!BF18)/Datos!BF18),(('Resol  Asuntos'!D18/NºAsuntos!G18)-Datos!BF18)/Datos!BF18," - ")</f>
        <v>-1</v>
      </c>
      <c r="K18" s="461">
        <f>IF(ISNUMBER((((NºAsuntos!C18+NºAsuntos!E18)/NºAsuntos!G18)-Datos!BG18)/Datos!BG18),(((NºAsuntos!C18+NºAsuntos!E18)/NºAsuntos!G18)-Datos!BG18)/Datos!BG18," - ")</f>
        <v>0.56923076923076932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0.16135881104033969</v>
      </c>
      <c r="C19" s="852">
        <f>IF(ISNUMBER(
   IF(Criterios!B14="SI",(Datos!J19-Datos!T19)/Datos!T19,(Datos!J19+Datos!AD19-(Datos!T19+Datos!AL19))/(Datos!T19+Datos!AL19))
     ),IF(Criterios!B14="SI",(Datos!J19-Datos!T19)/Datos!T19,(Datos!J19+Datos!AD19-(Datos!T19+Datos!AL19))/(Datos!T19+Datos!AL19))," - ")</f>
        <v>6.1855670103092786E-2</v>
      </c>
      <c r="D19" s="852">
        <f>IF(ISNUMBER(
   IF(Criterios!B14="SI",(Datos!K19-Datos!U19)/Datos!U19,(Datos!K19+Datos!AE19-(Datos!U19+Datos!AM19))/(Datos!U19+Datos!AM19))
     ),IF(Criterios!B14="SI",(Datos!K19-Datos!U19)/Datos!U19,(Datos!K19+Datos!AE19-(Datos!U19+Datos!AM19))/(Datos!U19+Datos!AM19))," - ")</f>
        <v>-0.18468468468468469</v>
      </c>
      <c r="E19" s="852">
        <f>IF(ISNUMBER(
   IF(Criterios!B14="SI",(Datos!L19-Datos!V19)/Datos!V19,(Datos!L19+Datos!AF19-(Datos!V19+Datos!AN19))/(Datos!V19+Datos!AN19))
     ),IF(Criterios!B14="SI",(Datos!L19-Datos!V19)/Datos!V19,(Datos!L19+Datos!AF19-(Datos!V19+Datos!AN19))/(Datos!V19+Datos!AN19))," - ")</f>
        <v>0.28699551569506726</v>
      </c>
      <c r="F19" s="853">
        <f>IF(ISNUMBER((Datos!M19-Datos!W19)/Datos!W19),(Datos!M19-Datos!W19)/Datos!W19," - ")</f>
        <v>0.81818181818181823</v>
      </c>
      <c r="G19" s="854">
        <f>IF(ISNUMBER((Datos!N19-Datos!X19)/Datos!X19),(Datos!N19-Datos!X19)/Datos!X19," - ")</f>
        <v>-0.35251798561151076</v>
      </c>
      <c r="H19" s="854">
        <f>IF(ISNUMBER(((NºAsuntos!G19/NºAsuntos!E19)-Datos!BD19)/Datos!BD19),((NºAsuntos!G19/NºAsuntos!E19)-Datos!BD19)/Datos!BD19," - ")</f>
        <v>-0.23217878072246995</v>
      </c>
      <c r="I19" s="854">
        <f>IF(ISNUMBER(((NºAsuntos!I19/NºAsuntos!G19)-Datos!BE19)/Datos!BE19),((NºAsuntos!I19/NºAsuntos!G19)-Datos!BE19)/Datos!BE19," - ")</f>
        <v>0.57852488665361856</v>
      </c>
      <c r="J19" s="854">
        <f>IF(ISNUMBER((('Resol  Asuntos'!D19/NºAsuntos!G19)-Datos!BF19)/Datos!BF19),(('Resol  Asuntos'!D19/NºAsuntos!G19)-Datos!BF19)/Datos!BF19," - ")</f>
        <v>1.2300351582119537</v>
      </c>
      <c r="K19" s="854">
        <f>IF(ISNUMBER((((NºAsuntos!C19+NºAsuntos!E19)/NºAsuntos!G19)-Datos!BG19)/Datos!BG19),(((NºAsuntos!C19+NºAsuntos!E19)/NºAsuntos!G19)-Datos!BG19)/Datos!BG19," - ")</f>
        <v>0.38882565529846735</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2.4255024255024255E-2</v>
      </c>
      <c r="C20" s="799">
        <f>IF(ISNUMBER(
   IF(J_V="SI",(Datos!J20-Datos!T20)/Datos!T20,(Datos!J20+Datos!Z20-(Datos!T20+Datos!AH20))/(Datos!T20+Datos!AH20))
     ),IF(J_V="SI",(Datos!J20-Datos!T20)/Datos!T20,(Datos!J20+Datos!Z20-(Datos!T20+Datos!AH20))/(Datos!T20+Datos!AH20))," - ")</f>
        <v>-8.6705202312138727E-2</v>
      </c>
      <c r="D20" s="799">
        <f>IF(ISNUMBER(
   IF(J_V="SI",(Datos!K20-Datos!U20)/Datos!U20,(Datos!K20+Datos!AA20-(Datos!U20+Datos!AI20))/(Datos!U20+Datos!AI20))
     ),IF(J_V="SI",(Datos!K20-Datos!U20)/Datos!U20,(Datos!K20+Datos!AA20-(Datos!U20+Datos!AI20))/(Datos!U20+Datos!AI20))," - ")</f>
        <v>-0.1392931392931393</v>
      </c>
      <c r="E20" s="799">
        <f>IF(ISNUMBER(
   IF(J_V="SI",(Datos!L20-Datos!V20)/Datos!V20,(Datos!L20+Datos!AB20-(Datos!V20+Datos!AJ20))/(Datos!V20+Datos!AJ20))
     ),IF(J_V="SI",(Datos!L20-Datos!V20)/Datos!V20,(Datos!L20+Datos!AB20-(Datos!V20+Datos!AJ20))/(Datos!V20+Datos!AJ20))," - ")</f>
        <v>3.7735849056603772E-2</v>
      </c>
      <c r="F20" s="800">
        <f>IF(ISNUMBER((Datos!M20-Datos!W20)/Datos!W20),(Datos!M20-Datos!W20)/Datos!W20," - ")</f>
        <v>-0.29807692307692307</v>
      </c>
      <c r="G20" s="801">
        <f>IF(ISNUMBER((Datos!N20-Datos!X20)/Datos!X20),(Datos!N20-Datos!X20)/Datos!X20," - ")</f>
        <v>-0.25657894736842107</v>
      </c>
      <c r="H20" s="802">
        <f>IF(ISNUMBER((Tasas!B20-Datos!BD20)/Datos!BD20),(Tasas!B20-Datos!BD20)/Datos!BD20," - ")</f>
        <v>-5.7580462643753792E-2</v>
      </c>
      <c r="I20" s="803">
        <f>IF(ISNUMBER((Tasas!C20-Datos!BE20)/Datos!BE20),(Tasas!C20-Datos!BE20)/Datos!BE20," - ")</f>
        <v>0.20567860723726192</v>
      </c>
      <c r="J20" s="804">
        <f>IF(ISNUMBER((Tasas!D20-Datos!BF20)/Datos!BF20),(Tasas!D20-Datos!BF20)/Datos!BF20," - ")</f>
        <v>1.4232574189095928</v>
      </c>
      <c r="K20" s="804">
        <f>IF(ISNUMBER((Tasas!E20-Datos!BG20)/Datos!BG20),(Tasas!E20-Datos!BG20)/Datos!BG20," - ")</f>
        <v>0.15591405792176966</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FxqfhCq+346kJHVjhoY0tepjcKsoxKd/C9vYv/DJ9ubl0oYyz/ikHvDpoqYxuVe/DmXoZZtrty8QS7tDtXL2nQ==" saltValue="Dr3awBThLbUmWpEXKJjzW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SEGOVIA</v>
      </c>
    </row>
    <row r="4" spans="1:7" ht="11.25" customHeight="1" thickBot="1">
      <c r="B4" s="390" t="str">
        <f>Criterios!A11 &amp;"  "&amp;Criterios!B11</f>
        <v>Resumenes por Partidos Judiciales  CUELLAR</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0.86940298507462688</v>
      </c>
      <c r="C12" s="442">
        <f>IF(ISNUMBER(NºAsuntos!I12/NºAsuntos!G12),NºAsuntos!I12/NºAsuntos!G12," - ")</f>
        <v>4.1459227467811157</v>
      </c>
      <c r="D12" s="443">
        <f>IF(ISNUMBER('Resol  Asuntos'!D12/NºAsuntos!G12),'Resol  Asuntos'!D12/NºAsuntos!G12," - ")</f>
        <v>0.14163090128755365</v>
      </c>
      <c r="E12" s="444">
        <f>IF(ISNUMBER((NºAsuntos!C12+NºAsuntos!E12)/NºAsuntos!G12),(NºAsuntos!C12+NºAsuntos!E12)/NºAsuntos!G12," - ")</f>
        <v>5.1459227467811157</v>
      </c>
      <c r="G12" s="462"/>
    </row>
    <row r="13" spans="1:7" ht="14.25" thickTop="1" thickBot="1">
      <c r="A13" s="845" t="str">
        <f>Datos!A13</f>
        <v>TOTAL</v>
      </c>
      <c r="B13" s="855">
        <f>IF(ISNUMBER(NºAsuntos!G13/NºAsuntos!E13),NºAsuntos!G13/NºAsuntos!E13," - ")</f>
        <v>0.86940298507462688</v>
      </c>
      <c r="C13" s="856">
        <f>IF(ISNUMBER(NºAsuntos!I13/NºAsuntos!G13),NºAsuntos!I13/NºAsuntos!G13," - ")</f>
        <v>4.1459227467811157</v>
      </c>
      <c r="D13" s="857">
        <f>IF(ISNUMBER('Resol  Asuntos'!D13/NºAsuntos!G13),'Resol  Asuntos'!D13/NºAsuntos!G13," - ")</f>
        <v>0.14163090128755365</v>
      </c>
      <c r="E13" s="858">
        <f>IF(ISNUMBER((NºAsuntos!C13+NºAsuntos!E13)/NºAsuntos!G13),(NºAsuntos!C13+NºAsuntos!E13)/NºAsuntos!G13," - ")</f>
        <v>5.1459227467811157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0.87165775401069523</v>
      </c>
      <c r="C17" s="442">
        <f>IF(ISNUMBER(NºAsuntos!I17/NºAsuntos!G17),NºAsuntos!I17/NºAsuntos!G17," - ")</f>
        <v>3.3128834355828221</v>
      </c>
      <c r="D17" s="443">
        <f>IF(ISNUMBER('Resol  Asuntos'!D17/NºAsuntos!G17),'Resol  Asuntos'!D17/NºAsuntos!G17," - ")</f>
        <v>0.24539877300613497</v>
      </c>
      <c r="E17" s="444">
        <f>IF(ISNUMBER((NºAsuntos!C17+NºAsuntos!E17)/NºAsuntos!G17),(NºAsuntos!C17+NºAsuntos!E17)/NºAsuntos!G17," - ")</f>
        <v>4.3067484662576687</v>
      </c>
      <c r="G17" s="462"/>
    </row>
    <row r="18" spans="1:7" ht="21.75" thickBot="1">
      <c r="A18" s="401" t="str">
        <f>Datos!A18</f>
        <v>Sección De Violencia sobre la Mujer del TI</v>
      </c>
      <c r="B18" s="441">
        <f>IF(ISNUMBER(NºAsuntos!G18/NºAsuntos!E18),NºAsuntos!G18/NºAsuntos!E18," - ")</f>
        <v>0.94736842105263153</v>
      </c>
      <c r="C18" s="442">
        <f>IF(ISNUMBER(NºAsuntos!I18/NºAsuntos!G18),NºAsuntos!I18/NºAsuntos!G18," - ")</f>
        <v>1.8888888888888888</v>
      </c>
      <c r="D18" s="443">
        <f>IF(ISNUMBER('Resol  Asuntos'!D18/NºAsuntos!G18),'Resol  Asuntos'!D18/NºAsuntos!G18," - ")</f>
        <v>0</v>
      </c>
      <c r="E18" s="444">
        <f>IF(ISNUMBER((NºAsuntos!C18+NºAsuntos!E18)/NºAsuntos!G18),(NºAsuntos!C18+NºAsuntos!E18)/NºAsuntos!G18," - ")</f>
        <v>2.8333333333333335</v>
      </c>
      <c r="G18" s="462"/>
    </row>
    <row r="19" spans="1:7" ht="14.25" thickTop="1" thickBot="1">
      <c r="A19" s="845" t="str">
        <f>Datos!A19</f>
        <v>TOTAL</v>
      </c>
      <c r="B19" s="855">
        <f>IF(ISNUMBER(NºAsuntos!G19/NºAsuntos!E19),NºAsuntos!G19/NºAsuntos!E19," - ")</f>
        <v>0.87864077669902918</v>
      </c>
      <c r="C19" s="856">
        <f>IF(ISNUMBER(NºAsuntos!I19/NºAsuntos!G19),NºAsuntos!I19/NºAsuntos!G19," - ")</f>
        <v>3.1712707182320443</v>
      </c>
      <c r="D19" s="859">
        <f>IF(ISNUMBER('Resol  Asuntos'!D19/NºAsuntos!G19),'Resol  Asuntos'!D19/NºAsuntos!G19," - ")</f>
        <v>0.22099447513812154</v>
      </c>
      <c r="E19" s="858">
        <f>IF(ISNUMBER((NºAsuntos!C19+NºAsuntos!E19)/NºAsuntos!G19),(NºAsuntos!C19+NºAsuntos!E19)/NºAsuntos!G19," - ")</f>
        <v>4.1602209944751385</v>
      </c>
      <c r="G19" s="462"/>
    </row>
    <row r="20" spans="1:7" ht="15.75" customHeight="1" thickTop="1" thickBot="1">
      <c r="A20" s="790" t="str">
        <f>Datos!A20</f>
        <v>TOTAL JURISDICCIONES</v>
      </c>
      <c r="B20" s="805">
        <f>IF(ISNUMBER(NºAsuntos!G20/NºAsuntos!E20),NºAsuntos!G20/NºAsuntos!E20," - ")</f>
        <v>0.87341772151898733</v>
      </c>
      <c r="C20" s="806">
        <f>IF(ISNUMBER(NºAsuntos!I20/NºAsuntos!G20),NºAsuntos!I20/NºAsuntos!G20," - ")</f>
        <v>3.7198067632850242</v>
      </c>
      <c r="D20" s="807">
        <f>IF(ISNUMBER('Resol  Asuntos'!D20/NºAsuntos!G20),'Resol  Asuntos'!D20/NºAsuntos!G20," - ")</f>
        <v>0.17632850241545894</v>
      </c>
      <c r="E20" s="808">
        <f>IF(ISNUMBER((NºAsuntos!C20+NºAsuntos!E20)/NºAsuntos!G20),(NºAsuntos!C20+NºAsuntos!E20)/NºAsuntos!G20," - ")</f>
        <v>4.7149758454106276</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sETjR18RQ9AzI290lRO39TPQxbhKLRWku/7KdT0UHx7+BSGxXB7AEiqAbZLSPe/NLqY6IoarmpzZNwiiR81Qow==" saltValue="vqXwEVAKof2OITRs9vPg0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SEGOVIA</v>
      </c>
      <c r="N2" s="261" t="str">
        <f>Criterios!A11 &amp;"  "&amp;Criterios!B11</f>
        <v>Resumenes por Partidos Judiciales  CUELLAR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46</v>
      </c>
      <c r="Y12" s="333">
        <f t="shared" si="0"/>
        <v>46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573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33</v>
      </c>
      <c r="AJ12" s="228" t="str">
        <f>IF(ISNUMBER(Datos!BW12),Datos!BW12," - ")</f>
        <v xml:space="preserve"> - </v>
      </c>
      <c r="AK12" s="227" t="str">
        <f>IF(ISNUMBER(Datos!BX12),Datos!BX12," - ")</f>
        <v xml:space="preserve"> - </v>
      </c>
      <c r="AL12" s="242">
        <f>IF(ISNUMBER(NºAsuntos!G12/NºAsuntos!E12),NºAsuntos!G12/NºAsuntos!E12," - ")</f>
        <v>0.86940298507462688</v>
      </c>
      <c r="AM12" s="259">
        <f>IF(ISNUMBER(((NºAsuntos!I12/NºAsuntos!G12)*11)/factor_trimestre),((NºAsuntos!I12/NºAsuntos!G12)*11)/factor_trimestre," - ")</f>
        <v>12.437768240343347</v>
      </c>
      <c r="AN12" s="243">
        <f>IF(ISNUMBER('Resol  Asuntos'!D12/NºAsuntos!G12),'Resol  Asuntos'!D12/NºAsuntos!G12," - ")</f>
        <v>0.14163090128755365</v>
      </c>
      <c r="AO12" s="244">
        <f>IF(ISNUMBER((NºAsuntos!C12+NºAsuntos!E12)/NºAsuntos!G12),(NºAsuntos!C12+NºAsuntos!E12)/NºAsuntos!G12," - ")</f>
        <v>5.1459227467811157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0</v>
      </c>
      <c r="G13" s="863">
        <f t="shared" si="3"/>
        <v>0</v>
      </c>
      <c r="H13" s="862">
        <f t="shared" si="3"/>
        <v>0</v>
      </c>
      <c r="I13" s="864">
        <f t="shared" si="3"/>
        <v>0</v>
      </c>
      <c r="J13" s="864">
        <f t="shared" si="3"/>
        <v>0</v>
      </c>
      <c r="K13" s="864">
        <f t="shared" si="3"/>
        <v>0</v>
      </c>
      <c r="L13" s="864">
        <f t="shared" si="3"/>
        <v>59</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46</v>
      </c>
      <c r="Y13" s="865">
        <f t="shared" si="4"/>
        <v>46</v>
      </c>
      <c r="Z13" s="865">
        <f t="shared" si="4"/>
        <v>0</v>
      </c>
      <c r="AA13" s="865">
        <f t="shared" si="4"/>
        <v>0</v>
      </c>
      <c r="AB13" s="865">
        <f t="shared" si="4"/>
        <v>573</v>
      </c>
      <c r="AC13" s="865">
        <f t="shared" si="4"/>
        <v>0</v>
      </c>
      <c r="AD13" s="865">
        <f t="shared" si="4"/>
        <v>0</v>
      </c>
      <c r="AE13" s="869">
        <f t="shared" si="4"/>
        <v>0</v>
      </c>
      <c r="AF13" s="862">
        <f t="shared" si="4"/>
        <v>0</v>
      </c>
      <c r="AG13" s="870">
        <f t="shared" si="4"/>
        <v>0</v>
      </c>
      <c r="AH13" s="867">
        <f t="shared" si="4"/>
        <v>0</v>
      </c>
      <c r="AI13" s="862">
        <f t="shared" si="4"/>
        <v>33</v>
      </c>
      <c r="AJ13" s="864">
        <f t="shared" si="4"/>
        <v>0</v>
      </c>
      <c r="AK13" s="867">
        <f>SUBTOTAL(9,AK9:AK12)</f>
        <v>0</v>
      </c>
      <c r="AL13" s="871">
        <f>IF(ISNUMBER(NºAsuntos!G13/NºAsuntos!E13),NºAsuntos!G13/NºAsuntos!E13," - ")</f>
        <v>0.86940298507462688</v>
      </c>
      <c r="AM13" s="871">
        <f>IF(ISNUMBER(((NºAsuntos!I13/NºAsuntos!G13)*11)/factor_trimestre),((NºAsuntos!I13/NºAsuntos!G13)*11)/factor_trimestre," - ")</f>
        <v>12.437768240343347</v>
      </c>
      <c r="AN13" s="872">
        <f>IF(ISNUMBER('Resol  Asuntos'!D13/NºAsuntos!G13),'Resol  Asuntos'!D13/NºAsuntos!G13," - ")</f>
        <v>0.14163090128755365</v>
      </c>
      <c r="AO13" s="873">
        <f>IF(ISNUMBER((NºAsuntos!C13+NºAsuntos!E13)/NºAsuntos!G13),(NºAsuntos!C13+NºAsuntos!E13)/NºAsuntos!G13," - ")</f>
        <v>5.1459227467811157</v>
      </c>
      <c r="AP13" s="874" t="str">
        <f t="shared" si="2"/>
        <v xml:space="preserve"> - </v>
      </c>
      <c r="AQ13" s="874" t="str">
        <f>IF(ISNUMBER((H13-W13+K13)/(F13)),(H13-W13+K13)/(F13)," - ")</f>
        <v xml:space="preserve"> - </v>
      </c>
      <c r="AR13" s="875">
        <f>IF(ISNUMBER((Datos!P13-Datos!Q13)/(Datos!R13-Datos!P13+Datos!Q13)),(Datos!P13-Datos!Q13)/(Datos!R13-Datos!P13+Datos!Q13)," - ")</f>
        <v>2.3214285714285715E-2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516</v>
      </c>
      <c r="G17" s="332">
        <f>IF(ISNUMBER(IF(D_I="SI",Datos!I17,Datos!I17+Datos!AC17)),IF(D_I="SI",Datos!I17,Datos!I17+Datos!AC17)," - ")</f>
        <v>515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163</v>
      </c>
      <c r="X17" s="225">
        <f>IF(ISNUMBER(Datos!Q17),Datos!Q17," - ")</f>
        <v>5</v>
      </c>
      <c r="Y17" s="333">
        <f t="shared" ref="Y17:Y18" si="9">SUM(W17:X17)</f>
        <v>168</v>
      </c>
      <c r="Z17" s="334" t="str">
        <f>IF(ISNUMBER(Datos!CC17),Datos!CC17," - ")</f>
        <v xml:space="preserve"> - </v>
      </c>
      <c r="AA17" s="331">
        <f>IF(ISNUMBER(IF(D_I="SI",Datos!L17,Datos!L17+Datos!AF17)),IF(D_I="SI",Datos!L17,Datos!L17+Datos!AF17)," - ")</f>
        <v>540</v>
      </c>
      <c r="AB17" s="333">
        <f>IF(ISNUMBER(Datos!R17),Datos!R17," - ")</f>
        <v>21</v>
      </c>
      <c r="AC17" s="333">
        <f t="shared" si="6"/>
        <v>561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40</v>
      </c>
      <c r="AJ17" s="230" t="str">
        <f>IF(ISNUMBER(Datos!BW17),Datos!BW17," - ")</f>
        <v xml:space="preserve"> - </v>
      </c>
      <c r="AK17" s="231" t="str">
        <f>IF(ISNUMBER(Datos!BX17),Datos!BX17," - ")</f>
        <v xml:space="preserve"> - </v>
      </c>
      <c r="AL17" s="242">
        <f>IF(ISNUMBER(NºAsuntos!G17/NºAsuntos!E17),NºAsuntos!G17/NºAsuntos!E17," - ")</f>
        <v>0.87165775401069523</v>
      </c>
      <c r="AM17" s="259">
        <f>IF(ISNUMBER(((NºAsuntos!I17/NºAsuntos!G17)*11)/factor_trimestre),((NºAsuntos!I17/NºAsuntos!G17)*11)/factor_trimestre," - ")</f>
        <v>9.9386503067484675</v>
      </c>
      <c r="AN17" s="243">
        <f>IF(ISNUMBER('Resol  Asuntos'!D17/NºAsuntos!G17),'Resol  Asuntos'!D17/NºAsuntos!G17," - ")</f>
        <v>0.24539877300613497</v>
      </c>
      <c r="AO17" s="244">
        <f>IF(ISNUMBER((NºAsuntos!C17+NºAsuntos!E17)/NºAsuntos!G17),(NºAsuntos!C17+NºAsuntos!E17)/NºAsuntos!G17," - ")</f>
        <v>4.3067484662576687</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32</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18</v>
      </c>
      <c r="X18" s="225">
        <f>IF(ISNUMBER(Datos!Q18),Datos!Q18," - ")</f>
        <v>0</v>
      </c>
      <c r="Y18" s="333">
        <f t="shared" si="9"/>
        <v>18</v>
      </c>
      <c r="Z18" s="334" t="str">
        <f>IF(ISNUMBER(Datos!CC18),Datos!CC18," - ")</f>
        <v xml:space="preserve"> - </v>
      </c>
      <c r="AA18" s="331">
        <f>IF(ISNUMBER(Datos!L18),Datos!L18,"-")</f>
        <v>34</v>
      </c>
      <c r="AB18" s="333">
        <f>IF(ISNUMBER(Datos!R18),Datos!R18," - ")</f>
        <v>0</v>
      </c>
      <c r="AC18" s="333">
        <f t="shared" si="6"/>
        <v>34</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0.94736842105263153</v>
      </c>
      <c r="AM18" s="259">
        <f>IF(ISNUMBER(((NºAsuntos!I18/NºAsuntos!G18)*11)/factor_trimestre),((NºAsuntos!I18/NºAsuntos!G18)*11)/factor_trimestre," - ")</f>
        <v>5.666666666666667</v>
      </c>
      <c r="AN18" s="243">
        <f>IF(ISNUMBER('Resol  Asuntos'!D18/NºAsuntos!G18),'Resol  Asuntos'!D18/NºAsuntos!G18," - ")</f>
        <v>0</v>
      </c>
      <c r="AO18" s="244">
        <f>IF(ISNUMBER((NºAsuntos!C18+NºAsuntos!E18)/NºAsuntos!G18),(NºAsuntos!C18+NºAsuntos!E18)/NºAsuntos!G18," - ")</f>
        <v>2.8333333333333335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516</v>
      </c>
      <c r="G19" s="863">
        <f>SUBTOTAL(9,G15:G18)</f>
        <v>547</v>
      </c>
      <c r="H19" s="862">
        <f t="shared" ref="H19:O19" si="12">SUBTOTAL(9,H14:H18)</f>
        <v>0</v>
      </c>
      <c r="I19" s="864">
        <f t="shared" si="12"/>
        <v>0</v>
      </c>
      <c r="J19" s="864">
        <f t="shared" si="12"/>
        <v>0</v>
      </c>
      <c r="K19" s="864">
        <f t="shared" si="12"/>
        <v>0</v>
      </c>
      <c r="L19" s="864">
        <f t="shared" si="12"/>
        <v>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181</v>
      </c>
      <c r="X19" s="864">
        <f t="shared" si="13"/>
        <v>5</v>
      </c>
      <c r="Y19" s="865">
        <f t="shared" si="13"/>
        <v>186</v>
      </c>
      <c r="Z19" s="865">
        <f t="shared" si="13"/>
        <v>0</v>
      </c>
      <c r="AA19" s="865">
        <f t="shared" si="13"/>
        <v>574</v>
      </c>
      <c r="AB19" s="865">
        <f t="shared" si="13"/>
        <v>21</v>
      </c>
      <c r="AC19" s="865">
        <f t="shared" si="13"/>
        <v>595</v>
      </c>
      <c r="AD19" s="865">
        <f t="shared" si="13"/>
        <v>0</v>
      </c>
      <c r="AE19" s="869">
        <f t="shared" si="13"/>
        <v>0</v>
      </c>
      <c r="AF19" s="862">
        <f t="shared" si="13"/>
        <v>0</v>
      </c>
      <c r="AG19" s="870">
        <f t="shared" si="13"/>
        <v>0</v>
      </c>
      <c r="AH19" s="867">
        <f t="shared" si="13"/>
        <v>0</v>
      </c>
      <c r="AI19" s="862">
        <f t="shared" si="13"/>
        <v>40</v>
      </c>
      <c r="AJ19" s="864">
        <f t="shared" si="13"/>
        <v>0</v>
      </c>
      <c r="AK19" s="867">
        <f t="shared" si="13"/>
        <v>0</v>
      </c>
      <c r="AL19" s="871">
        <f>IF(ISNUMBER(NºAsuntos!G19/NºAsuntos!E19),NºAsuntos!G19/NºAsuntos!E19," - ")</f>
        <v>0.87864077669902918</v>
      </c>
      <c r="AM19" s="871">
        <f>IF(ISNUMBER(((NºAsuntos!I19/NºAsuntos!G19)*11)/factor_trimestre),((NºAsuntos!I19/NºAsuntos!G19)*11)/factor_trimestre," - ")</f>
        <v>9.5138121546961329</v>
      </c>
      <c r="AN19" s="872">
        <f>IF(ISNUMBER('Resol  Asuntos'!D19/NºAsuntos!G19),'Resol  Asuntos'!D19/NºAsuntos!G19," - ")</f>
        <v>0.22099447513812154</v>
      </c>
      <c r="AO19" s="873">
        <f>IF(ISNUMBER((NºAsuntos!C19+NºAsuntos!E19)/NºAsuntos!G19),(NºAsuntos!C19+NºAsuntos!E19)/NºAsuntos!G19," - ")</f>
        <v>4.1602209944751385</v>
      </c>
      <c r="AP19" s="874" t="str">
        <f t="shared" si="2"/>
        <v xml:space="preserve"> - </v>
      </c>
      <c r="AQ19" s="874">
        <f>IF(ISNUMBER((H19-W19+K19)/(F19)),(H19-W19+K19)/(F19)," - ")</f>
        <v>-0.35077519379844962</v>
      </c>
      <c r="AR19" s="875">
        <f>IF(ISNUMBER((Datos!P19-Datos!Q19)/(Datos!R19-Datos!P19+Datos!Q19)),(Datos!P19-Datos!Q19)/(Datos!R19-Datos!P19+Datos!Q19)," - ")</f>
        <v>-0.19230769230769232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516</v>
      </c>
      <c r="G20" s="818">
        <f t="shared" si="15"/>
        <v>547</v>
      </c>
      <c r="H20" s="817">
        <f t="shared" si="15"/>
        <v>0</v>
      </c>
      <c r="I20" s="819">
        <f t="shared" si="15"/>
        <v>0</v>
      </c>
      <c r="J20" s="819">
        <f t="shared" si="15"/>
        <v>0</v>
      </c>
      <c r="K20" s="878">
        <f t="shared" si="15"/>
        <v>0</v>
      </c>
      <c r="L20" s="819">
        <f t="shared" si="15"/>
        <v>59</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181</v>
      </c>
      <c r="X20" s="818">
        <f t="shared" si="16"/>
        <v>51</v>
      </c>
      <c r="Y20" s="825">
        <f t="shared" si="16"/>
        <v>232</v>
      </c>
      <c r="Z20" s="825">
        <f t="shared" si="16"/>
        <v>0</v>
      </c>
      <c r="AA20" s="825">
        <f t="shared" si="16"/>
        <v>574</v>
      </c>
      <c r="AB20" s="825">
        <f t="shared" si="16"/>
        <v>594</v>
      </c>
      <c r="AC20" s="825">
        <f t="shared" si="16"/>
        <v>595</v>
      </c>
      <c r="AD20" s="825">
        <f t="shared" si="16"/>
        <v>0</v>
      </c>
      <c r="AE20" s="827">
        <f t="shared" si="16"/>
        <v>0</v>
      </c>
      <c r="AF20" s="828">
        <f t="shared" si="16"/>
        <v>0</v>
      </c>
      <c r="AG20" s="829">
        <f t="shared" si="16"/>
        <v>0</v>
      </c>
      <c r="AH20" s="827">
        <f t="shared" si="16"/>
        <v>0</v>
      </c>
      <c r="AI20" s="817">
        <f t="shared" si="16"/>
        <v>73</v>
      </c>
      <c r="AJ20" s="817">
        <f t="shared" si="16"/>
        <v>0</v>
      </c>
      <c r="AK20" s="827">
        <f t="shared" si="16"/>
        <v>0</v>
      </c>
      <c r="AL20" s="881">
        <f>IF(ISNUMBER(NºAsuntos!G20/NºAsuntos!E20),NºAsuntos!G20/NºAsuntos!E20," - ")</f>
        <v>0.87341772151898733</v>
      </c>
      <c r="AM20" s="882">
        <f>IF(ISNUMBER(((NºAsuntos!I20/NºAsuntos!G20)*11)/factor_trimestre),((NºAsuntos!I20/NºAsuntos!G20)*11)/factor_trimestre," - ")</f>
        <v>11.159420289855074</v>
      </c>
      <c r="AN20" s="882">
        <f>IF(ISNUMBER('Resol  Asuntos'!D20/NºAsuntos!G20),'Resol  Asuntos'!D20/NºAsuntos!G20," - ")</f>
        <v>0.17632850241545894</v>
      </c>
      <c r="AO20" s="883">
        <f>IF(ISNUMBER((NºAsuntos!C20+NºAsuntos!E20)/NºAsuntos!G20),(NºAsuntos!C20+NºAsuntos!E20)/NºAsuntos!G20," - ")</f>
        <v>4.7149758454106276</v>
      </c>
      <c r="AP20" s="884" t="str">
        <f t="shared" si="2"/>
        <v xml:space="preserve"> - </v>
      </c>
      <c r="AQ20" s="885">
        <f>IF(OR(ISNUMBER(FIND("01",Criterios!A8,1)),ISNUMBER(FIND("02",Criterios!A8,1)),ISNUMBER(FIND("03",Criterios!A8,1)),ISNUMBER(FIND("04",Criterios!A8,1))),(I20-W20+K20)/(F20-K20),(H20-W20+K20)/(F20-K20))</f>
        <v>-0.35077519379844962</v>
      </c>
      <c r="AR20" s="886">
        <f>IF(ISNUMBER((Datos!P20-Datos!Q20)/(Datos!R20-Datos!P20+Datos!Q20)),(Datos!P20-Datos!Q20)/(Datos!R20-Datos!P20+Datos!Q20)," - ")</f>
        <v>1.3651877133105802E-2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218.8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297.91273890184692</v>
      </c>
      <c r="G22" s="252">
        <f>IF(ISNUMBER(STDEV(G8:G19)),STDEV(G8:G19),"-")</f>
        <v>285.52180302036481</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91.440144356841429</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19.106717841289925</v>
      </c>
      <c r="AJ22" s="251">
        <f t="shared" si="20"/>
        <v>0</v>
      </c>
      <c r="AK22" s="253">
        <f t="shared" si="20"/>
        <v>0</v>
      </c>
      <c r="AL22" s="248">
        <f t="shared" si="20"/>
        <v>3.3795278351256799E-2</v>
      </c>
      <c r="AM22" s="249">
        <f t="shared" si="20"/>
        <v>2.7795387422946902</v>
      </c>
      <c r="AN22" s="249">
        <f t="shared" si="20"/>
        <v>9.5892128482646499E-2</v>
      </c>
      <c r="AO22" s="250">
        <f t="shared" si="20"/>
        <v>0.94870532160338106</v>
      </c>
      <c r="AP22" s="290" t="str">
        <f t="shared" si="20"/>
        <v>-</v>
      </c>
      <c r="AQ22" s="291" t="str">
        <f t="shared" si="20"/>
        <v>-</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bqzoGuiFDSJlZ76LdcFBGnXi+EgLZBx5WJe4jsJnsyk3D0fomhzw1fqrvGhmu0kV7PHh0AWSr8oFnpb/BnPb4Q==" saltValue="FpEalRSyyOQCIhG5HNxYa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SEGOVIA</v>
      </c>
      <c r="E3" s="262"/>
    </row>
    <row r="4" spans="2:20" ht="17.25" customHeight="1" thickBot="1">
      <c r="D4" s="261" t="str">
        <f>Criterios!A11 &amp;"  "&amp;Criterios!B11</f>
        <v>Resumenes por Partidos Judiciales  CUELLAR</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-1</v>
      </c>
      <c r="E10" s="347" t="str">
        <f>IF(ISNUMBER((Datos!J10-Datos!T10)/Datos!T10),(Datos!J10-Datos!T10)/Datos!T10," - ")</f>
        <v xml:space="preserve"> - </v>
      </c>
      <c r="F10" s="347">
        <f>IF(ISNUMBER((Datos!K10-Datos!U10)/Datos!U10),(Datos!K10-Datos!U10)/Datos!U10," - ")</f>
        <v>-1</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-0.59756097560975607</v>
      </c>
      <c r="I12" s="349">
        <f>IF(ISNUMBER((Tasas!C12-Datos!BE12)/Datos!BE12),(Tasas!C12-Datos!BE12)/Datos!BE12," - ")</f>
        <v>2.6495323624996896E-2</v>
      </c>
      <c r="J12" s="348">
        <f>IF(ISNUMBER((Tasas!D12-Datos!BF12)/Datos!BF12),(Tasas!D12-Datos!BF12)/Datos!BF12," - ")</f>
        <v>1.7999339716077913</v>
      </c>
      <c r="K12" s="350">
        <f>IF(ISNUMBER((Tasas!E12-Datos!BG12)/Datos!BG12),(Tasas!E12-Datos!BG12)/Datos!BG12," - ")</f>
        <v>2.123717831872338E-2</v>
      </c>
      <c r="M12" t="e">
        <f>IF(Monitorios="SI",Datos!CE12,0)</f>
        <v>#REF!</v>
      </c>
      <c r="N12" t="e">
        <f>IF(Monitorios="SI",Datos!CF12,0)</f>
        <v>#REF!</v>
      </c>
      <c r="O12" t="e">
        <f>IF(Monitorios="SI",Datos!CG12,0)</f>
        <v>#REF!</v>
      </c>
      <c r="P12" t="e">
        <f>IF(Monitorios="SI",Datos!CH12,0)</f>
        <v>#REF!</v>
      </c>
      <c r="Q12">
        <f>IF(J_V="SI",0,Datos!AG12)</f>
        <v>45</v>
      </c>
      <c r="R12">
        <f>IF(J_V="SI",0,Datos!AH12)</f>
        <v>38</v>
      </c>
      <c r="S12">
        <f>IF(J_V="SI",0,Datos!AI12)</f>
        <v>21</v>
      </c>
      <c r="T12">
        <f>IF(J_V="SI",0,Datos!AJ12)</f>
        <v>62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-0.59756097560975607</v>
      </c>
      <c r="I13" s="356">
        <f>IF(ISNUMBER((Tasas!C13-Datos!BE13)/Datos!BE13),(Tasas!C13-Datos!BE13)/Datos!BE13," - ")</f>
        <v>3.4483614081222407E-2</v>
      </c>
      <c r="J13" s="354">
        <f>IF(ISNUMBER((Tasas!D13-Datos!BF13)/Datos!BF13),(Tasas!D13-Datos!BF13)/Datos!BF13," - ")</f>
        <v>1.821723341036646</v>
      </c>
      <c r="K13" s="357">
        <f>IF(ISNUMBER((Tasas!E13-Datos!BG13)/Datos!BG13),(Tasas!E13-Datos!BG13)/Datos!BG13," - ")</f>
        <v>2.7597526149814075E-2</v>
      </c>
      <c r="M13" t="e">
        <f>IF(Monitorios="SI",Datos!CE13,0)</f>
        <v>#REF!</v>
      </c>
      <c r="N13" t="e">
        <f>IF(Monitorios="SI",Datos!CF13,0)</f>
        <v>#REF!</v>
      </c>
      <c r="O13" t="e">
        <f>IF(Monitorios="SI",Datos!CG13,0)</f>
        <v>#REF!</v>
      </c>
      <c r="P13" t="e">
        <f>IF(Monitorios="SI",Datos!CH13,0)</f>
        <v>#REF!</v>
      </c>
      <c r="Q13">
        <f>IF(J_V="SI",0,Datos!AG13)</f>
        <v>45</v>
      </c>
      <c r="R13">
        <f>IF(J_V="SI",0,Datos!AH13)</f>
        <v>38</v>
      </c>
      <c r="S13">
        <f>IF(J_V="SI",0,Datos!AI13)</f>
        <v>21</v>
      </c>
      <c r="T13">
        <f>IF(J_V="SI",0,Datos!AJ13)</f>
        <v>62</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0.23205741626794257</v>
      </c>
      <c r="E17" s="347">
        <f>IF(ISNUMBER(
   IF(D_I="SI",(Datos!J17-Datos!T17)/Datos!T17,(Datos!J17+Datos!AD17-(Datos!T17+Datos!AL17))/(Datos!T17+Datos!AL17))
     ),IF(D_I="SI",(Datos!J17-Datos!T17)/Datos!T17,(Datos!J17+Datos!AD17-(Datos!T17+Datos!AL17))/(Datos!T17+Datos!AL17))," - ")</f>
        <v>2.7472527472527472E-2</v>
      </c>
      <c r="F17" s="347">
        <f>IF(ISNUMBER(
   IF(D_I="SI",(Datos!K17-Datos!U17)/Datos!U17,(Datos!K17+Datos!AE17-(Datos!U17+Datos!AM17))/(Datos!U17+Datos!AM17))
     ),IF(D_I="SI",(Datos!K17-Datos!U17)/Datos!U17,(Datos!K17+Datos!AE17-(Datos!U17+Datos!AM17))/(Datos!U17+Datos!AM17))," - ")</f>
        <v>-0.12365591397849462</v>
      </c>
      <c r="G17" s="348">
        <f>IF(ISNUMBER(
   IF(D_I="SI",(Datos!L17-Datos!V17)/Datos!V17,(Datos!L17+Datos!AF17-(Datos!V17+Datos!AN17))/(Datos!V17+Datos!AN17))
     ),IF(D_I="SI",(Datos!L17-Datos!V17)/Datos!V17,(Datos!L17+Datos!AF17-(Datos!V17+Datos!AN17))/(Datos!V17+Datos!AN17))," - ")</f>
        <v>0.29496402877697842</v>
      </c>
      <c r="H17" s="229">
        <f>IF(ISNUMBER((Datos!M17-Datos!W17)/Datos!W17),(Datos!M17-Datos!W17)/Datos!W17," - ")</f>
        <v>0.90476190476190477</v>
      </c>
      <c r="I17" s="349">
        <f>IF(ISNUMBER((Tasas!C17-Datos!BE17)/Datos!BE17),(Tasas!C17-Datos!BE17)/Datos!BE17," - ")</f>
        <v>0.47768901443262579</v>
      </c>
      <c r="J17" s="348">
        <f>IF(ISNUMBER((Tasas!D17-Datos!BF17)/Datos!BF17),(Tasas!D17-Datos!BF17)/Datos!BF17," - ")</f>
        <v>1.1735319894829099</v>
      </c>
      <c r="K17" s="350">
        <f>IF(ISNUMBER((Tasas!E17-Datos!BG17)/Datos!BG17),(Tasas!E17-Datos!BG17)/Datos!BG17," - ")</f>
        <v>0.33509202453987741</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-0.39622641509433965</v>
      </c>
      <c r="E18" s="347">
        <f>IF(ISNUMBER(
   IF(D_I="SI",(Datos!J18-Datos!T18)/Datos!T18,(Datos!J18+Datos!AD18-(Datos!T18+Datos!AL18))/(Datos!T18+Datos!AL18))
     ),IF(D_I="SI",(Datos!J18-Datos!T18)/Datos!T18,(Datos!J18+Datos!AD18-(Datos!T18+Datos!AL18))/(Datos!T18+Datos!AL18))," - ")</f>
        <v>0.58333333333333337</v>
      </c>
      <c r="F18" s="347">
        <f>IF(ISNUMBER(
   IF(D_I="SI",(Datos!K18-Datos!U18)/Datos!U18,(Datos!K18+Datos!AE18-(Datos!U18+Datos!AM18))/(Datos!U18+Datos!AM18))
     ),IF(D_I="SI",(Datos!K18-Datos!U18)/Datos!U18,(Datos!K18+Datos!AE18-(Datos!U18+Datos!AM18))/(Datos!U18+Datos!AM18))," - ")</f>
        <v>-0.5</v>
      </c>
      <c r="G18" s="348">
        <f>IF(ISNUMBER(
   IF(D_I="SI",(Datos!L18-Datos!V18)/Datos!V18,(Datos!L18+Datos!AF18-(Datos!V18+Datos!AN18))/(Datos!V18+Datos!AN18))
     ),IF(D_I="SI",(Datos!L18-Datos!V18)/Datos!V18,(Datos!L18+Datos!AF18-(Datos!V18+Datos!AN18))/(Datos!V18+Datos!AN18))," - ")</f>
        <v>0.17241379310344829</v>
      </c>
      <c r="H18" s="229">
        <f>IF(ISNUMBER((Datos!M18-Datos!W18)/Datos!W18),(Datos!M18-Datos!W18)/Datos!W18," - ")</f>
        <v>-1</v>
      </c>
      <c r="I18" s="349">
        <f>IF(ISNUMBER((Tasas!C18-Datos!BE18)/Datos!BE18),(Tasas!C18-Datos!BE18)/Datos!BE18," - ")</f>
        <v>1.3448275862068964</v>
      </c>
      <c r="J18" s="348">
        <f>IF(ISNUMBER((Tasas!D18-Datos!BF18)/Datos!BF18),(Tasas!D18-Datos!BF18)/Datos!BF18," - ")</f>
        <v>-1</v>
      </c>
      <c r="K18" s="350">
        <f>IF(ISNUMBER((Tasas!E18-Datos!BG18)/Datos!BG18),(Tasas!E18-Datos!BG18)/Datos!BG18," - ")</f>
        <v>0.56923076923076932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0.16135881104033969</v>
      </c>
      <c r="E19" s="353">
        <f>IF(ISNUMBER(
   IF(D_I="SI",(Datos!J19-Datos!T19)/Datos!T19,(Datos!J19+Datos!AD19-(Datos!T19+Datos!AL19))/(Datos!T19+Datos!AL19))
     ),IF(D_I="SI",(Datos!J19-Datos!T19)/Datos!T19,(Datos!J19+Datos!AD19-(Datos!T19+Datos!AL19))/(Datos!T19+Datos!AL19))," - ")</f>
        <v>6.1855670103092786E-2</v>
      </c>
      <c r="F19" s="353">
        <f>IF(ISNUMBER(
   IF(D_I="SI",(Datos!K19-Datos!U19)/Datos!U19,(Datos!K19+Datos!AE19-(Datos!U19+Datos!AM19))/(Datos!U19+Datos!AM19))
     ),IF(D_I="SI",(Datos!K19-Datos!U19)/Datos!U19,(Datos!K19+Datos!AE19-(Datos!U19+Datos!AM19))/(Datos!U19+Datos!AM19))," - ")</f>
        <v>-0.18468468468468469</v>
      </c>
      <c r="G19" s="354">
        <f>IF(ISNUMBER(
   IF(D_I="SI",(Datos!L19-Datos!V19)/Datos!V19,(Datos!L19+Datos!AF19-(Datos!V19+Datos!AN19))/(Datos!V19+Datos!AN19))
     ),IF(D_I="SI",(Datos!L19-Datos!V19)/Datos!V19,(Datos!L19+Datos!AF19-(Datos!V19+Datos!AN19))/(Datos!V19+Datos!AN19))," - ")</f>
        <v>0.28699551569506726</v>
      </c>
      <c r="H19" s="355">
        <f>IF(ISNUMBER((Datos!M19-Datos!W19)/Datos!W19),(Datos!M19-Datos!W19)/Datos!W19," - ")</f>
        <v>0.81818181818181823</v>
      </c>
      <c r="I19" s="356">
        <f>IF(ISNUMBER((Tasas!C19-Datos!BE19)/Datos!BE19),(Tasas!C19-Datos!BE19)/Datos!BE19," - ")</f>
        <v>0.57852488665361856</v>
      </c>
      <c r="J19" s="354">
        <f>IF(ISNUMBER((Tasas!D19-Datos!BF19)/Datos!BF19),(Tasas!D19-Datos!BF19)/Datos!BF19," - ")</f>
        <v>1.2300351582119537</v>
      </c>
      <c r="K19" s="357">
        <f>IF(ISNUMBER((Tasas!E19-Datos!BG19)/Datos!BG19),(Tasas!E19-Datos!BG19)/Datos!BG19," - ")</f>
        <v>0.38882565529846735</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2.4255024255024255E-2</v>
      </c>
      <c r="E20" s="362">
        <f>IF(ISNUMBER(
   IF(J_V="SI",(Datos!J20-Datos!T20)/Datos!T20,(Datos!J20+Datos!Z20-(Datos!T20+Datos!AH20))/(Datos!T20+Datos!AH20))
     ),IF(J_V="SI",(Datos!J20-Datos!T20)/Datos!T20,(Datos!J20+Datos!Z20-(Datos!T20+Datos!AH20))/(Datos!T20+Datos!AH20))," - ")</f>
        <v>-8.6705202312138727E-2</v>
      </c>
      <c r="F20" s="362">
        <f>IF(ISNUMBER(
   IF(J_V="SI",(Datos!K20-Datos!U20)/Datos!U20,(Datos!K20+Datos!AA20-(Datos!U20+Datos!AI20))/(Datos!U20+Datos!AI20))
     ),IF(J_V="SI",(Datos!K20-Datos!U20)/Datos!U20,(Datos!K20+Datos!AA20-(Datos!U20+Datos!AI20))/(Datos!U20+Datos!AI20))," - ")</f>
        <v>-0.1392931392931393</v>
      </c>
      <c r="G20" s="363">
        <f>IF(ISNUMBER(
   IF(J_V="SI",(Datos!L20-Datos!V20)/Datos!V20,(Datos!L20+Datos!AB20-(Datos!V20+Datos!AJ20))/(Datos!V20+Datos!AJ20))
     ),IF(J_V="SI",(Datos!L20-Datos!V20)/Datos!V20,(Datos!L20+Datos!AB20-(Datos!V20+Datos!AJ20))/(Datos!V20+Datos!AJ20))," - ")</f>
        <v>3.7735849056603772E-2</v>
      </c>
      <c r="H20" s="364">
        <f>IF(ISNUMBER((Datos!M20-Datos!W20)/Datos!W20),(Datos!M20-Datos!W20)/Datos!W20," - ")</f>
        <v>-0.29807692307692307</v>
      </c>
      <c r="I20" s="361">
        <f>IF(ISNUMBER((Tasas!C20-Datos!BE20)/Datos!BE20),(Tasas!C20-Datos!BE20)/Datos!BE20," - ")</f>
        <v>0.20567860723726192</v>
      </c>
      <c r="J20" s="362">
        <f>IF(ISNUMBER((Tasas!D20-Datos!BF20)/Datos!BF20),(Tasas!D20-Datos!BF20)/Datos!BF20," - ")</f>
        <v>1.4232574189095928</v>
      </c>
      <c r="K20" s="363">
        <f>IF(ISNUMBER((Tasas!E20-Datos!BG20)/Datos!BG20),(Tasas!E20-Datos!BG20)/Datos!BG20," - ")</f>
        <v>0.15591405792176966</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0.57314210401433618</v>
      </c>
      <c r="E22" s="277">
        <f t="shared" si="1"/>
        <v>0.3114756248455221</v>
      </c>
      <c r="F22" s="277">
        <f t="shared" si="1"/>
        <v>0.4007806081576144</v>
      </c>
      <c r="G22" s="278">
        <f t="shared" si="1"/>
        <v>6.8569950435591859E-2</v>
      </c>
      <c r="H22" s="284">
        <f t="shared" si="1"/>
        <v>0.88847951231352695</v>
      </c>
      <c r="I22" s="276">
        <f t="shared" si="1"/>
        <v>0.53875348787770105</v>
      </c>
      <c r="J22" s="277">
        <f t="shared" si="1"/>
        <v>1.1616826028270646</v>
      </c>
      <c r="K22" s="278">
        <f t="shared" si="1"/>
        <v>0.23902123759424007</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EAAnIHpzYN8Aj0QxaJqfzOaV5/jNq1yAL8vP58x6mseOcW7lTLfASA8JyU8Ck8Y7DYuWMibdcwgsYNaHMD+ZAg==" saltValue="gm6jVMhm9VKhfovcBJn60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2026-06-18T12:29:41Z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